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11070" windowWidth="9030" windowHeight="8010" tabRatio="144"/>
  </bookViews>
  <sheets>
    <sheet name="WEO" sheetId="6" r:id="rId1"/>
  </sheets>
  <definedNames>
    <definedName name="_xlnm.Print_Area" localSheetId="0">WEO!$A$1:$C$19</definedName>
  </definedNames>
  <calcPr calcId="125725"/>
</workbook>
</file>

<file path=xl/calcChain.xml><?xml version="1.0" encoding="utf-8"?>
<calcChain xmlns="http://schemas.openxmlformats.org/spreadsheetml/2006/main">
  <c r="GP9" i="6"/>
  <c r="GJ11"/>
  <c r="GJ10"/>
  <c r="GJ9"/>
  <c r="GJ8"/>
  <c r="GJ7"/>
  <c r="AX9"/>
  <c r="AZ9"/>
  <c r="AX10"/>
  <c r="AX8"/>
  <c r="GF15"/>
  <c r="GH15"/>
  <c r="GG15"/>
  <c r="GF16"/>
  <c r="GH16"/>
  <c r="GG16"/>
  <c r="GF17"/>
  <c r="GH17"/>
  <c r="GG17"/>
  <c r="FC5"/>
  <c r="FC12" s="1"/>
  <c r="FD5"/>
  <c r="FE5"/>
  <c r="FE8" s="1"/>
  <c r="FG5"/>
  <c r="FC6"/>
  <c r="FC13" s="1"/>
  <c r="FD6"/>
  <c r="FE6"/>
  <c r="FG6"/>
  <c r="FC7"/>
  <c r="FC14"/>
  <c r="FD7"/>
  <c r="FE7"/>
  <c r="FG7"/>
  <c r="FD8"/>
  <c r="FG8"/>
  <c r="FF12"/>
  <c r="FH12"/>
  <c r="FK12"/>
  <c r="FF13"/>
  <c r="FI13"/>
  <c r="FK13"/>
  <c r="FI14"/>
  <c r="FK14"/>
  <c r="FF15"/>
  <c r="FH15"/>
  <c r="FK15"/>
  <c r="EP8"/>
  <c r="ER8"/>
  <c r="EP9"/>
  <c r="ER9"/>
  <c r="EP10"/>
  <c r="ER10"/>
  <c r="EN17"/>
  <c r="EP17"/>
  <c r="EY17"/>
  <c r="EN18"/>
  <c r="EP18"/>
  <c r="EN19"/>
  <c r="EP19"/>
  <c r="EY19"/>
  <c r="CP5"/>
  <c r="CP27" s="1"/>
  <c r="CP6"/>
  <c r="CP7"/>
  <c r="CP29" s="1"/>
  <c r="CP28"/>
  <c r="CG9"/>
  <c r="CG10"/>
  <c r="CJ4"/>
  <c r="CJ6"/>
  <c r="BT3"/>
  <c r="BY7"/>
  <c r="AZ8"/>
  <c r="BI17"/>
  <c r="BA8"/>
  <c r="BA9"/>
  <c r="AZ10"/>
  <c r="BI19"/>
  <c r="BA10"/>
  <c r="AX17"/>
  <c r="AZ17"/>
  <c r="AX18"/>
  <c r="AZ18"/>
  <c r="AX19"/>
  <c r="AZ19"/>
  <c r="AW24"/>
  <c r="BC23"/>
  <c r="CJ7"/>
  <c r="CJ9" s="1"/>
  <c r="U6"/>
  <c r="U7"/>
  <c r="U8"/>
  <c r="T15"/>
  <c r="T16"/>
  <c r="T17"/>
  <c r="W21"/>
  <c r="W15"/>
  <c r="X15"/>
  <c r="W22"/>
  <c r="V16"/>
  <c r="W23"/>
  <c r="W17"/>
  <c r="X17"/>
  <c r="R27"/>
  <c r="R28"/>
  <c r="R29"/>
  <c r="R30"/>
  <c r="K5"/>
  <c r="V6" s="1"/>
  <c r="L5"/>
  <c r="ET8" s="1"/>
  <c r="M5"/>
  <c r="EU8" s="1"/>
  <c r="K6"/>
  <c r="V7" s="1"/>
  <c r="L6"/>
  <c r="ET9"/>
  <c r="M6"/>
  <c r="EU9"/>
  <c r="M7"/>
  <c r="K8"/>
  <c r="ES10" s="1"/>
  <c r="L8"/>
  <c r="ET10" s="1"/>
  <c r="M8"/>
  <c r="EU10" s="1"/>
  <c r="M9"/>
  <c r="M10"/>
  <c r="M11"/>
  <c r="GI17"/>
  <c r="GI16"/>
  <c r="GI15"/>
  <c r="EY18"/>
  <c r="EY20"/>
  <c r="FI12"/>
  <c r="FI15"/>
  <c r="BZ7"/>
  <c r="CA7" s="1"/>
  <c r="CB7" s="1"/>
  <c r="BT11" s="1"/>
  <c r="ES9"/>
  <c r="EV9" s="1"/>
  <c r="EW9" s="1"/>
  <c r="EX9" s="1"/>
  <c r="ES8"/>
  <c r="EV8" s="1"/>
  <c r="EW8" s="1"/>
  <c r="EX8" s="1"/>
  <c r="BB8"/>
  <c r="BB10"/>
  <c r="CG11"/>
  <c r="AG17"/>
  <c r="AG15"/>
  <c r="Z21"/>
  <c r="AA15"/>
  <c r="AB15"/>
  <c r="Z22"/>
  <c r="AA16"/>
  <c r="AB16"/>
  <c r="Z23"/>
  <c r="AA17"/>
  <c r="AB17"/>
  <c r="N8"/>
  <c r="N5"/>
  <c r="V17"/>
  <c r="W16"/>
  <c r="X16"/>
  <c r="V15"/>
  <c r="GI18"/>
  <c r="ER18"/>
  <c r="ES18" s="1"/>
  <c r="ET18" s="1"/>
  <c r="AH17"/>
  <c r="AK17"/>
  <c r="AH15"/>
  <c r="AK15"/>
  <c r="AG16"/>
  <c r="AH16"/>
  <c r="BI18"/>
  <c r="BB9"/>
  <c r="BI20"/>
  <c r="EV10" l="1"/>
  <c r="EW10" s="1"/>
  <c r="EX10" s="1"/>
  <c r="ER19"/>
  <c r="ES19" s="1"/>
  <c r="ET19" s="1"/>
  <c r="BC9"/>
  <c r="BA18" s="1"/>
  <c r="BB18" s="1"/>
  <c r="BC18" s="1"/>
  <c r="W7"/>
  <c r="X7" s="1"/>
  <c r="Y7" s="1"/>
  <c r="Y16"/>
  <c r="AC16"/>
  <c r="EX11"/>
  <c r="U17"/>
  <c r="U15"/>
  <c r="U16"/>
  <c r="BC8"/>
  <c r="Y15"/>
  <c r="W6"/>
  <c r="AC15"/>
  <c r="BD9"/>
  <c r="AK16"/>
  <c r="AJ16"/>
  <c r="ER17"/>
  <c r="ES17" s="1"/>
  <c r="ET17" s="1"/>
  <c r="V8"/>
  <c r="N6"/>
  <c r="AJ15"/>
  <c r="AJ17"/>
  <c r="EU17" l="1"/>
  <c r="BH9"/>
  <c r="BE9"/>
  <c r="BF9" s="1"/>
  <c r="BI9"/>
  <c r="BJ9" s="1"/>
  <c r="Y17"/>
  <c r="AC17"/>
  <c r="W8"/>
  <c r="X8" s="1"/>
  <c r="Y8" s="1"/>
  <c r="BC10"/>
  <c r="CQ5"/>
  <c r="AD15"/>
  <c r="U34" s="1"/>
  <c r="DU11"/>
  <c r="AN15"/>
  <c r="AQ15" s="1"/>
  <c r="AS15" s="1"/>
  <c r="AM15"/>
  <c r="CS5"/>
  <c r="DX11"/>
  <c r="T34"/>
  <c r="GJ16"/>
  <c r="GK16" s="1"/>
  <c r="GL16" s="1"/>
  <c r="CT6"/>
  <c r="CT7"/>
  <c r="GJ17"/>
  <c r="GK17" s="1"/>
  <c r="GL17" s="1"/>
  <c r="CS6"/>
  <c r="AM16"/>
  <c r="CZ8"/>
  <c r="DA8" s="1"/>
  <c r="DB8" s="1"/>
  <c r="BD18"/>
  <c r="AP15"/>
  <c r="AR15" s="1"/>
  <c r="AP16"/>
  <c r="AR16" s="1"/>
  <c r="X6"/>
  <c r="Y6" s="1"/>
  <c r="DX31"/>
  <c r="BA17"/>
  <c r="BB17" s="1"/>
  <c r="BC17" s="1"/>
  <c r="BD8"/>
  <c r="CT5"/>
  <c r="GJ15"/>
  <c r="GK15" s="1"/>
  <c r="DQ11"/>
  <c r="S34"/>
  <c r="CQ6"/>
  <c r="AN16"/>
  <c r="AQ16" s="1"/>
  <c r="AS16" s="1"/>
  <c r="AD16"/>
  <c r="S35" s="1"/>
  <c r="U35"/>
  <c r="EU19"/>
  <c r="EW19" s="1"/>
  <c r="EX19"/>
  <c r="EU18"/>
  <c r="AE16"/>
  <c r="GK18" l="1"/>
  <c r="GL18" s="1"/>
  <c r="GL15"/>
  <c r="CT8"/>
  <c r="CZ7"/>
  <c r="BD17"/>
  <c r="Y9"/>
  <c r="AE15"/>
  <c r="CR6"/>
  <c r="BE18"/>
  <c r="BH18" s="1"/>
  <c r="BD10"/>
  <c r="BA19"/>
  <c r="BB19" s="1"/>
  <c r="BC19" s="1"/>
  <c r="CQ7"/>
  <c r="AN17"/>
  <c r="AQ17" s="1"/>
  <c r="AS17" s="1"/>
  <c r="AD17"/>
  <c r="S36" s="1"/>
  <c r="EV17"/>
  <c r="FF5" s="1"/>
  <c r="EW17"/>
  <c r="EV19"/>
  <c r="FF7" s="1"/>
  <c r="T35"/>
  <c r="V35" s="1"/>
  <c r="EW18"/>
  <c r="EV18"/>
  <c r="FF6" s="1"/>
  <c r="EX18"/>
  <c r="S37"/>
  <c r="V34"/>
  <c r="BI8"/>
  <c r="BE8"/>
  <c r="BF8" s="1"/>
  <c r="BH8"/>
  <c r="EB32"/>
  <c r="CQ8"/>
  <c r="CS7"/>
  <c r="AM17"/>
  <c r="AP17" s="1"/>
  <c r="AR17" s="1"/>
  <c r="T36"/>
  <c r="BG9"/>
  <c r="BG18"/>
  <c r="DD8" s="1"/>
  <c r="DE8" s="1"/>
  <c r="DF8" s="1"/>
  <c r="DG8" s="1"/>
  <c r="DH8" s="1"/>
  <c r="BF18"/>
  <c r="FH6" s="1"/>
  <c r="T37"/>
  <c r="AE17"/>
  <c r="EX17"/>
  <c r="EX20" s="1"/>
  <c r="GB9" l="1"/>
  <c r="GP7"/>
  <c r="GP8" s="1"/>
  <c r="GP10" s="1"/>
  <c r="GP11" s="1"/>
  <c r="DN6"/>
  <c r="BG8"/>
  <c r="EF19"/>
  <c r="EG19" s="1"/>
  <c r="DM31" s="1"/>
  <c r="EG32"/>
  <c r="BD19"/>
  <c r="CZ9"/>
  <c r="DA9" s="1"/>
  <c r="DB9" s="1"/>
  <c r="DA7"/>
  <c r="CZ10"/>
  <c r="EW20"/>
  <c r="BJ8"/>
  <c r="EC26"/>
  <c r="BE10"/>
  <c r="BF10" s="1"/>
  <c r="BI10"/>
  <c r="BH10"/>
  <c r="EC11"/>
  <c r="CR5"/>
  <c r="BE17"/>
  <c r="DN7" s="1"/>
  <c r="EF10" s="1"/>
  <c r="BH17"/>
  <c r="CS8"/>
  <c r="BH11"/>
  <c r="FF8"/>
  <c r="U36"/>
  <c r="U37" s="1"/>
  <c r="V37" s="1"/>
  <c r="CU6"/>
  <c r="CS28" l="1"/>
  <c r="CT28"/>
  <c r="CQ28"/>
  <c r="CR28"/>
  <c r="BF17"/>
  <c r="CU5"/>
  <c r="BG10"/>
  <c r="DB7"/>
  <c r="DB10" s="1"/>
  <c r="DA10"/>
  <c r="CR7"/>
  <c r="BE19"/>
  <c r="BF19" s="1"/>
  <c r="FH7" s="1"/>
  <c r="BJ10"/>
  <c r="BJ11" s="1"/>
  <c r="BI11"/>
  <c r="V36"/>
  <c r="BG17"/>
  <c r="BF11"/>
  <c r="EC5" l="1"/>
  <c r="EG5" s="1"/>
  <c r="DN31" s="1"/>
  <c r="DP31" s="1"/>
  <c r="DD7"/>
  <c r="CU7"/>
  <c r="CQ27"/>
  <c r="CT27"/>
  <c r="CS27"/>
  <c r="DP6"/>
  <c r="FH5"/>
  <c r="FH8" s="1"/>
  <c r="BF20"/>
  <c r="BG19"/>
  <c r="DD9" s="1"/>
  <c r="DE9" s="1"/>
  <c r="DF9" s="1"/>
  <c r="DG9" s="1"/>
  <c r="DH9" s="1"/>
  <c r="CR8"/>
  <c r="CU28"/>
  <c r="BH19"/>
  <c r="BH20" s="1"/>
  <c r="CR27"/>
  <c r="CT29" l="1"/>
  <c r="CS29"/>
  <c r="CQ29"/>
  <c r="CT30"/>
  <c r="BG20"/>
  <c r="BG22" s="1"/>
  <c r="CQ30"/>
  <c r="CU27"/>
  <c r="DD10"/>
  <c r="DE7"/>
  <c r="CS30"/>
  <c r="CR29"/>
  <c r="CR30" s="1"/>
  <c r="DE10" l="1"/>
  <c r="DF7"/>
  <c r="CU29"/>
  <c r="CT33"/>
  <c r="DG7" l="1"/>
  <c r="DF10"/>
  <c r="DG10" l="1"/>
  <c r="DH7"/>
  <c r="DH10" s="1"/>
</calcChain>
</file>

<file path=xl/comments1.xml><?xml version="1.0" encoding="utf-8"?>
<comments xmlns="http://schemas.openxmlformats.org/spreadsheetml/2006/main">
  <authors>
    <author>Author</author>
  </authors>
  <commentList>
    <comment ref="H4" authorId="0">
      <text>
        <r>
          <rPr>
            <b/>
            <sz val="8"/>
            <color indexed="81"/>
            <rFont val="Tahoma"/>
            <family val="2"/>
          </rPr>
          <t>Author:</t>
        </r>
        <r>
          <rPr>
            <sz val="8"/>
            <color indexed="81"/>
            <rFont val="Tahoma"/>
            <family val="2"/>
          </rPr>
          <t xml:space="preserve">
fHCW hydrolysis took place at 200 °C except for grain which was at 220 °C and hydrolysates were detoxified with activated carbon as reported previously.20</t>
        </r>
      </text>
    </comment>
    <comment ref="V4" authorId="0">
      <text>
        <r>
          <rPr>
            <b/>
            <sz val="8"/>
            <color indexed="81"/>
            <rFont val="Tahoma"/>
            <family val="2"/>
          </rPr>
          <t>Author:</t>
        </r>
        <r>
          <rPr>
            <sz val="8"/>
            <color indexed="81"/>
            <rFont val="Tahoma"/>
            <family val="2"/>
          </rPr>
          <t xml:space="preserve">
bCalculated in Table 1</t>
        </r>
      </text>
    </comment>
    <comment ref="U5" authorId="0">
      <text>
        <r>
          <rPr>
            <b/>
            <sz val="8"/>
            <color indexed="81"/>
            <rFont val="Tahoma"/>
            <family val="2"/>
          </rPr>
          <t>Author:</t>
        </r>
        <r>
          <rPr>
            <sz val="8"/>
            <color indexed="81"/>
            <rFont val="Tahoma"/>
            <family val="2"/>
          </rPr>
          <t xml:space="preserve">
aCalculated using the mass yields shown in Figure 1</t>
        </r>
      </text>
    </comment>
    <comment ref="AY5" authorId="0">
      <text>
        <r>
          <rPr>
            <b/>
            <sz val="8"/>
            <color indexed="81"/>
            <rFont val="Tahoma"/>
            <family val="2"/>
          </rPr>
          <t>Author:</t>
        </r>
        <r>
          <rPr>
            <sz val="8"/>
            <color indexed="81"/>
            <rFont val="Tahoma"/>
            <family val="2"/>
          </rPr>
          <t xml:space="preserve">
Calculated in Table 2B</t>
        </r>
      </text>
    </comment>
    <comment ref="BA5" authorId="0">
      <text>
        <r>
          <rPr>
            <b/>
            <sz val="8"/>
            <color indexed="81"/>
            <rFont val="Tahoma"/>
            <family val="2"/>
          </rPr>
          <t>Author:</t>
        </r>
        <r>
          <rPr>
            <sz val="8"/>
            <color indexed="81"/>
            <rFont val="Tahoma"/>
            <family val="2"/>
          </rPr>
          <t xml:space="preserve">
From figure 1</t>
        </r>
      </text>
    </comment>
    <comment ref="EO5" authorId="0">
      <text>
        <r>
          <rPr>
            <b/>
            <sz val="8"/>
            <color indexed="81"/>
            <rFont val="Tahoma"/>
            <family val="2"/>
          </rPr>
          <t>Author:</t>
        </r>
        <r>
          <rPr>
            <sz val="8"/>
            <color indexed="81"/>
            <rFont val="Tahoma"/>
            <family val="2"/>
          </rPr>
          <t xml:space="preserve">
Calculated in Table 4B</t>
        </r>
      </text>
    </comment>
    <comment ref="CA6" authorId="0">
      <text>
        <r>
          <rPr>
            <b/>
            <sz val="8"/>
            <color indexed="81"/>
            <rFont val="Tahoma"/>
            <family val="2"/>
          </rPr>
          <t>Author:</t>
        </r>
        <r>
          <rPr>
            <sz val="8"/>
            <color indexed="81"/>
            <rFont val="Tahoma"/>
            <family val="2"/>
          </rPr>
          <t xml:space="preserve">
Approximates to 100% water. Accounts for rate of heat recovery.</t>
        </r>
      </text>
    </comment>
    <comment ref="DG6" authorId="0">
      <text>
        <r>
          <rPr>
            <b/>
            <sz val="8"/>
            <color indexed="81"/>
            <rFont val="Tahoma"/>
            <family val="2"/>
          </rPr>
          <t>Author:</t>
        </r>
        <r>
          <rPr>
            <sz val="8"/>
            <color indexed="81"/>
            <rFont val="Tahoma"/>
            <family val="2"/>
          </rPr>
          <t xml:space="preserve">
TOC art figures</t>
        </r>
      </text>
    </comment>
    <comment ref="BT7" authorId="0">
      <text>
        <r>
          <rPr>
            <b/>
            <sz val="8"/>
            <color indexed="81"/>
            <rFont val="Tahoma"/>
            <family val="2"/>
          </rPr>
          <t>Author:</t>
        </r>
        <r>
          <rPr>
            <sz val="8"/>
            <color indexed="81"/>
            <rFont val="Tahoma"/>
            <family val="2"/>
          </rPr>
          <t xml:space="preserve">
close approximation. It was really 97% water, 3% dry matter: 5g dry matter in 160ml.</t>
        </r>
      </text>
    </comment>
    <comment ref="S14" authorId="0">
      <text>
        <r>
          <rPr>
            <b/>
            <sz val="8"/>
            <color indexed="81"/>
            <rFont val="Tahoma"/>
            <family val="2"/>
          </rPr>
          <t>Author:</t>
        </r>
        <r>
          <rPr>
            <sz val="8"/>
            <color indexed="81"/>
            <rFont val="Tahoma"/>
            <family val="2"/>
          </rPr>
          <t xml:space="preserve">
Not shown elsewhere</t>
        </r>
      </text>
    </comment>
    <comment ref="T14" authorId="0">
      <text>
        <r>
          <rPr>
            <b/>
            <sz val="8"/>
            <color indexed="81"/>
            <rFont val="Tahoma"/>
            <family val="2"/>
          </rPr>
          <t>Author:</t>
        </r>
        <r>
          <rPr>
            <sz val="8"/>
            <color indexed="81"/>
            <rFont val="Tahoma"/>
            <family val="2"/>
          </rPr>
          <t xml:space="preserve">
aCalculated using the mass yields shown in Figure 1</t>
        </r>
      </text>
    </comment>
    <comment ref="U14" authorId="0">
      <text>
        <r>
          <rPr>
            <b/>
            <sz val="8"/>
            <color indexed="81"/>
            <rFont val="Tahoma"/>
            <family val="2"/>
          </rPr>
          <t>Author:</t>
        </r>
        <r>
          <rPr>
            <sz val="8"/>
            <color indexed="81"/>
            <rFont val="Tahoma"/>
            <family val="2"/>
          </rPr>
          <t xml:space="preserve">
Author’s estimation for the power demand for heating in a continuous flow HCW system (see manuscript text)</t>
        </r>
      </text>
    </comment>
    <comment ref="V14" authorId="0">
      <text>
        <r>
          <rPr>
            <b/>
            <sz val="8"/>
            <color indexed="81"/>
            <rFont val="Tahoma"/>
            <family val="2"/>
          </rPr>
          <t>Author:</t>
        </r>
        <r>
          <rPr>
            <sz val="8"/>
            <color indexed="81"/>
            <rFont val="Tahoma"/>
            <family val="2"/>
          </rPr>
          <t xml:space="preserve">
Extractive fermentations fed with the juices of waste mango, asian pear and catering waste 1 required for electroseparation 29.5 Wh, 77.3 Wh and 10.3 Wh, respectively</t>
        </r>
      </text>
    </comment>
    <comment ref="AA14" authorId="0">
      <text>
        <r>
          <rPr>
            <b/>
            <sz val="8"/>
            <color indexed="81"/>
            <rFont val="Tahoma"/>
            <family val="2"/>
          </rPr>
          <t>Author:</t>
        </r>
        <r>
          <rPr>
            <sz val="8"/>
            <color indexed="81"/>
            <rFont val="Tahoma"/>
            <family val="2"/>
          </rPr>
          <t xml:space="preserve">
Estimated using 4 W/m3 mixing power46</t>
        </r>
      </text>
    </comment>
    <comment ref="AC14" authorId="0">
      <text>
        <r>
          <rPr>
            <b/>
            <sz val="8"/>
            <color indexed="81"/>
            <rFont val="Tahoma"/>
            <family val="2"/>
          </rPr>
          <t>Author:</t>
        </r>
        <r>
          <rPr>
            <sz val="8"/>
            <color indexed="81"/>
            <rFont val="Tahoma"/>
            <family val="2"/>
          </rPr>
          <t xml:space="preserve">
This referes to the mixing energy when all 3 fractions are fermented (juice, infusion and hydrolysate)</t>
        </r>
      </text>
    </comment>
    <comment ref="AH14" authorId="0">
      <text>
        <r>
          <rPr>
            <b/>
            <sz val="8"/>
            <color indexed="81"/>
            <rFont val="Tahoma"/>
            <family val="2"/>
          </rPr>
          <t>Author:</t>
        </r>
        <r>
          <rPr>
            <sz val="8"/>
            <color indexed="81"/>
            <rFont val="Tahoma"/>
            <family val="2"/>
          </rPr>
          <t xml:space="preserve">
This referes to the mixing energy when all 3 fractions are fermented (juice, infusion and hydrolysate)</t>
        </r>
      </text>
    </comment>
    <comment ref="AK14" authorId="0">
      <text>
        <r>
          <rPr>
            <b/>
            <sz val="8"/>
            <color indexed="81"/>
            <rFont val="Tahoma"/>
            <family val="2"/>
          </rPr>
          <t>Author:</t>
        </r>
        <r>
          <rPr>
            <sz val="8"/>
            <color indexed="81"/>
            <rFont val="Tahoma"/>
            <family val="2"/>
          </rPr>
          <t xml:space="preserve">
This refers to the mixing energy when all 3 fractions are fermented (juice, infusion and hydrolysate)</t>
        </r>
      </text>
    </comment>
    <comment ref="AN14" authorId="0">
      <text>
        <r>
          <rPr>
            <b/>
            <sz val="8"/>
            <color indexed="81"/>
            <rFont val="Tahoma"/>
            <family val="2"/>
          </rPr>
          <t>Author:</t>
        </r>
        <r>
          <rPr>
            <sz val="8"/>
            <color indexed="81"/>
            <rFont val="Tahoma"/>
            <family val="2"/>
          </rPr>
          <t xml:space="preserve">
This refers to the mixing energy when all 3 fractions are fermented (juice, infusion and hydrolysate)</t>
        </r>
      </text>
    </comment>
    <comment ref="B15" authorId="0">
      <text>
        <r>
          <rPr>
            <b/>
            <sz val="8"/>
            <color indexed="81"/>
            <rFont val="Tahoma"/>
            <family val="2"/>
          </rPr>
          <t>Author:</t>
        </r>
        <r>
          <rPr>
            <sz val="8"/>
            <color indexed="81"/>
            <rFont val="Tahoma"/>
            <family val="2"/>
          </rPr>
          <t xml:space="preserve">
Example comment</t>
        </r>
      </text>
    </comment>
    <comment ref="V15" authorId="0">
      <text>
        <r>
          <rPr>
            <b/>
            <sz val="8"/>
            <color indexed="81"/>
            <rFont val="Tahoma"/>
            <family val="2"/>
          </rPr>
          <t>Author:</t>
        </r>
        <r>
          <rPr>
            <sz val="8"/>
            <color indexed="81"/>
            <rFont val="Tahoma"/>
            <family val="2"/>
          </rPr>
          <t xml:space="preserve">
shows that the electriseparation energy was related more closely to the fermentability of the juice rather than the mass of juice.</t>
        </r>
      </text>
    </comment>
    <comment ref="AY15" authorId="0">
      <text>
        <r>
          <rPr>
            <b/>
            <sz val="8"/>
            <color indexed="81"/>
            <rFont val="Tahoma"/>
            <family val="2"/>
          </rPr>
          <t>Author:</t>
        </r>
        <r>
          <rPr>
            <sz val="8"/>
            <color indexed="81"/>
            <rFont val="Tahoma"/>
            <family val="2"/>
          </rPr>
          <t xml:space="preserve">
from Figure 1</t>
        </r>
      </text>
    </comment>
    <comment ref="BE15" authorId="0">
      <text>
        <r>
          <rPr>
            <sz val="8"/>
            <color indexed="81"/>
            <rFont val="Tahoma"/>
            <family val="2"/>
          </rPr>
          <t>Sum of PF mixing energy and single-stage parasitic energy (B)</t>
        </r>
      </text>
    </comment>
    <comment ref="V19" authorId="0">
      <text>
        <r>
          <rPr>
            <b/>
            <sz val="8"/>
            <color indexed="81"/>
            <rFont val="Tahoma"/>
            <family val="2"/>
          </rPr>
          <t>Author:</t>
        </r>
        <r>
          <rPr>
            <sz val="8"/>
            <color indexed="81"/>
            <rFont val="Tahoma"/>
            <family val="2"/>
          </rPr>
          <t xml:space="preserve">
Not shown, information given in legend</t>
        </r>
      </text>
    </comment>
  </commentList>
</comments>
</file>

<file path=xl/sharedStrings.xml><?xml version="1.0" encoding="utf-8"?>
<sst xmlns="http://schemas.openxmlformats.org/spreadsheetml/2006/main" count="413" uniqueCount="255">
  <si>
    <t>Waste</t>
  </si>
  <si>
    <r>
      <t>Yield of juice from waste</t>
    </r>
    <r>
      <rPr>
        <vertAlign val="superscript"/>
        <sz val="11"/>
        <color indexed="8"/>
        <rFont val="Times New Roman"/>
        <family val="1"/>
      </rPr>
      <t>b</t>
    </r>
  </si>
  <si>
    <r>
      <t>H</t>
    </r>
    <r>
      <rPr>
        <vertAlign val="subscript"/>
        <sz val="11"/>
        <color indexed="8"/>
        <rFont val="Times New Roman"/>
        <family val="1"/>
      </rPr>
      <t>2</t>
    </r>
    <r>
      <rPr>
        <sz val="11"/>
        <color indexed="8"/>
        <rFont val="Times New Roman"/>
        <family val="1"/>
      </rPr>
      <t xml:space="preserve"> yield from Juice fraction</t>
    </r>
  </si>
  <si>
    <r>
      <t>H</t>
    </r>
    <r>
      <rPr>
        <vertAlign val="subscript"/>
        <sz val="11"/>
        <color indexed="8"/>
        <rFont val="Times New Roman"/>
        <family val="1"/>
      </rPr>
      <t>2</t>
    </r>
    <r>
      <rPr>
        <sz val="11"/>
        <color indexed="8"/>
        <rFont val="Times New Roman"/>
        <family val="1"/>
      </rPr>
      <t xml:space="preserve"> yield from juice, infusion and hydrolysate</t>
    </r>
  </si>
  <si>
    <r>
      <t>Gross electricity production potential</t>
    </r>
    <r>
      <rPr>
        <vertAlign val="superscript"/>
        <sz val="11"/>
        <color indexed="8"/>
        <rFont val="Times New Roman"/>
        <family val="1"/>
      </rPr>
      <t>d</t>
    </r>
  </si>
  <si>
    <t>Unit</t>
  </si>
  <si>
    <r>
      <t>mol H</t>
    </r>
    <r>
      <rPr>
        <vertAlign val="subscript"/>
        <sz val="11"/>
        <color indexed="8"/>
        <rFont val="Times New Roman"/>
        <family val="1"/>
      </rPr>
      <t>2</t>
    </r>
    <r>
      <rPr>
        <sz val="11"/>
        <color indexed="8"/>
        <rFont val="Times New Roman"/>
        <family val="1"/>
      </rPr>
      <t>/ kg juice</t>
    </r>
  </si>
  <si>
    <t>kg Juice / kg raw waste</t>
  </si>
  <si>
    <r>
      <t>mol H</t>
    </r>
    <r>
      <rPr>
        <vertAlign val="subscript"/>
        <sz val="11"/>
        <color indexed="8"/>
        <rFont val="Times New Roman"/>
        <family val="1"/>
      </rPr>
      <t>2</t>
    </r>
    <r>
      <rPr>
        <sz val="11"/>
        <color indexed="8"/>
        <rFont val="Times New Roman"/>
        <family val="1"/>
      </rPr>
      <t xml:space="preserve"> from the juice of 1 kg raw waste</t>
    </r>
  </si>
  <si>
    <t>%</t>
  </si>
  <si>
    <r>
      <t>mol H</t>
    </r>
    <r>
      <rPr>
        <vertAlign val="subscript"/>
        <sz val="11"/>
        <color indexed="8"/>
        <rFont val="Times New Roman"/>
        <family val="1"/>
      </rPr>
      <t>2</t>
    </r>
    <r>
      <rPr>
        <sz val="11"/>
        <color indexed="8"/>
        <rFont val="Times New Roman"/>
        <family val="1"/>
      </rPr>
      <t xml:space="preserve"> / kg raw waste</t>
    </r>
  </si>
  <si>
    <t>kWh/kg raw waste</t>
  </si>
  <si>
    <t>Wholesalers mango</t>
  </si>
  <si>
    <t>Wholesalers asian pear</t>
  </si>
  <si>
    <t>Catering waste 1</t>
  </si>
  <si>
    <t>kJ/kg at 75% fuel cell efficiency</t>
  </si>
  <si>
    <t>kWh</t>
  </si>
  <si>
    <t>Dark fermentation</t>
  </si>
  <si>
    <r>
      <t>Photo-fermentation</t>
    </r>
    <r>
      <rPr>
        <vertAlign val="superscript"/>
        <sz val="11"/>
        <color indexed="8"/>
        <rFont val="Times New Roman"/>
        <family val="1"/>
      </rPr>
      <t>a</t>
    </r>
  </si>
  <si>
    <t>Total</t>
  </si>
  <si>
    <t>HPP yield in juice-fed fermentations</t>
  </si>
  <si>
    <t>mol HPP/ kg juice</t>
  </si>
  <si>
    <t>mol HPP from the juice of 1 kg raw waste</t>
  </si>
  <si>
    <t>HPP yield from Juice fraction</t>
  </si>
  <si>
    <r>
      <t>Fraction of total H</t>
    </r>
    <r>
      <rPr>
        <vertAlign val="subscript"/>
        <sz val="11"/>
        <color indexed="8"/>
        <rFont val="Times New Roman"/>
        <family val="1"/>
      </rPr>
      <t>2</t>
    </r>
    <r>
      <rPr>
        <sz val="11"/>
        <color indexed="8"/>
        <rFont val="Times New Roman"/>
        <family val="1"/>
      </rPr>
      <t xml:space="preserve"> from juice, in fermentability tests</t>
    </r>
    <r>
      <rPr>
        <vertAlign val="superscript"/>
        <sz val="11"/>
        <color indexed="8"/>
        <rFont val="Times New Roman"/>
        <family val="1"/>
      </rPr>
      <t>b</t>
    </r>
  </si>
  <si>
    <r>
      <t>HPP</t>
    </r>
    <r>
      <rPr>
        <sz val="11"/>
        <color indexed="8"/>
        <rFont val="Times New Roman"/>
        <family val="1"/>
      </rPr>
      <t xml:space="preserve"> yield from juice, infusion and hydrolysate</t>
    </r>
  </si>
  <si>
    <r>
      <t>mol HPP</t>
    </r>
    <r>
      <rPr>
        <sz val="11"/>
        <color indexed="8"/>
        <rFont val="Times New Roman"/>
        <family val="1"/>
      </rPr>
      <t xml:space="preserve"> / kg raw waste</t>
    </r>
  </si>
  <si>
    <t>annual horizontal irradiance in Kampala (PV GIS)</t>
  </si>
  <si>
    <r>
      <t>kWh/m</t>
    </r>
    <r>
      <rPr>
        <vertAlign val="superscript"/>
        <sz val="11"/>
        <color indexed="8"/>
        <rFont val="Times New Roman"/>
        <family val="1"/>
      </rPr>
      <t>2</t>
    </r>
    <r>
      <rPr>
        <sz val="11"/>
        <color indexed="8"/>
        <rFont val="Times New Roman"/>
        <family val="1"/>
      </rPr>
      <t>/year</t>
    </r>
  </si>
  <si>
    <t>light conversion efficiency to H2</t>
  </si>
  <si>
    <t>H2 energy production rate</t>
  </si>
  <si>
    <t>substrate conversion efficiency</t>
  </si>
  <si>
    <t>HPP consumption rate</t>
  </si>
  <si>
    <t>Mixing energy</t>
  </si>
  <si>
    <r>
      <t>MJ/m</t>
    </r>
    <r>
      <rPr>
        <vertAlign val="superscript"/>
        <sz val="11"/>
        <color indexed="8"/>
        <rFont val="Times New Roman"/>
        <family val="1"/>
      </rPr>
      <t>2</t>
    </r>
    <r>
      <rPr>
        <sz val="11"/>
        <color indexed="8"/>
        <rFont val="Times New Roman"/>
        <family val="1"/>
      </rPr>
      <t>/year</t>
    </r>
  </si>
  <si>
    <t>Land use rate</t>
  </si>
  <si>
    <r>
      <t>m</t>
    </r>
    <r>
      <rPr>
        <vertAlign val="superscript"/>
        <sz val="11"/>
        <color indexed="8"/>
        <rFont val="Times New Roman"/>
        <family val="1"/>
      </rPr>
      <t xml:space="preserve">2 </t>
    </r>
    <r>
      <rPr>
        <sz val="11"/>
        <color indexed="8"/>
        <rFont val="Times New Roman"/>
        <family val="1"/>
      </rPr>
      <t>. years/kg raw waste</t>
    </r>
  </si>
  <si>
    <t>Mixing energy for photo-fermentation</t>
  </si>
  <si>
    <r>
      <t>Total H</t>
    </r>
    <r>
      <rPr>
        <vertAlign val="subscript"/>
        <sz val="11"/>
        <color indexed="8"/>
        <rFont val="Times New Roman"/>
        <family val="1"/>
      </rPr>
      <t>2</t>
    </r>
    <r>
      <rPr>
        <sz val="11"/>
        <color indexed="8"/>
        <rFont val="Times New Roman"/>
        <family val="1"/>
      </rPr>
      <t xml:space="preserve"> yield from Juice</t>
    </r>
  </si>
  <si>
    <r>
      <t>Total H</t>
    </r>
    <r>
      <rPr>
        <vertAlign val="subscript"/>
        <sz val="11"/>
        <color indexed="8"/>
        <rFont val="Times New Roman"/>
        <family val="1"/>
      </rPr>
      <t>2</t>
    </r>
    <r>
      <rPr>
        <sz val="11"/>
        <color indexed="8"/>
        <rFont val="Times New Roman"/>
        <family val="1"/>
      </rPr>
      <t xml:space="preserve"> yield from juice, infusion and hydrolysate</t>
    </r>
  </si>
  <si>
    <r>
      <t>Gross electricity production potential</t>
    </r>
    <r>
      <rPr>
        <vertAlign val="superscript"/>
        <sz val="11"/>
        <color indexed="8"/>
        <rFont val="Times New Roman"/>
        <family val="1"/>
      </rPr>
      <t>b</t>
    </r>
  </si>
  <si>
    <t>Net Energy Ratio</t>
  </si>
  <si>
    <t>kWh / kg raw waste</t>
  </si>
  <si>
    <t>Out / In</t>
  </si>
  <si>
    <t>Hot Compressed Water (HCW) treatment</t>
  </si>
  <si>
    <t>Electroseparation of organic acids</t>
  </si>
  <si>
    <t>Total parasitic energy</t>
  </si>
  <si>
    <t>Moisture content  of washed pressings (%)</t>
  </si>
  <si>
    <t>HCW demand for water</t>
  </si>
  <si>
    <t>kWh/kg reactant</t>
  </si>
  <si>
    <t>Yield of washed pressings</t>
  </si>
  <si>
    <t>from Table 2 (kg/kg raw waste)</t>
  </si>
  <si>
    <t>not shown, duplicates Table 4B</t>
  </si>
  <si>
    <t>Not shown, duplicates Table 5A</t>
  </si>
  <si>
    <t>Not shown, duplicates Table 2</t>
  </si>
  <si>
    <t>Not shown, duplicates, Table 5A</t>
  </si>
  <si>
    <r>
      <t>mol H</t>
    </r>
    <r>
      <rPr>
        <vertAlign val="superscript"/>
        <sz val="11"/>
        <color indexed="8"/>
        <rFont val="Times New Roman"/>
        <family val="1"/>
      </rPr>
      <t>2</t>
    </r>
    <r>
      <rPr>
        <sz val="11"/>
        <color indexed="8"/>
        <rFont val="Times New Roman"/>
        <family val="1"/>
      </rPr>
      <t>/m</t>
    </r>
    <r>
      <rPr>
        <vertAlign val="superscript"/>
        <sz val="11"/>
        <color indexed="8"/>
        <rFont val="Times New Roman"/>
        <family val="1"/>
      </rPr>
      <t>2</t>
    </r>
    <r>
      <rPr>
        <sz val="11"/>
        <color indexed="8"/>
        <rFont val="Times New Roman"/>
        <family val="1"/>
      </rPr>
      <t>/year</t>
    </r>
  </si>
  <si>
    <r>
      <t>mol HPP/m</t>
    </r>
    <r>
      <rPr>
        <vertAlign val="superscript"/>
        <sz val="11"/>
        <color indexed="8"/>
        <rFont val="Times New Roman"/>
        <family val="1"/>
      </rPr>
      <t>2</t>
    </r>
    <r>
      <rPr>
        <sz val="11"/>
        <color indexed="8"/>
        <rFont val="Times New Roman"/>
        <family val="1"/>
      </rPr>
      <t>/year</t>
    </r>
  </si>
  <si>
    <r>
      <t>kJ/mol H</t>
    </r>
    <r>
      <rPr>
        <vertAlign val="superscript"/>
        <sz val="11"/>
        <color indexed="8"/>
        <rFont val="Times New Roman"/>
        <family val="1"/>
      </rPr>
      <t>2</t>
    </r>
  </si>
  <si>
    <r>
      <t>kWh/mol H</t>
    </r>
    <r>
      <rPr>
        <vertAlign val="superscript"/>
        <sz val="11"/>
        <color indexed="8"/>
        <rFont val="Times New Roman"/>
        <family val="1"/>
      </rPr>
      <t>2</t>
    </r>
  </si>
  <si>
    <t>Heat recovery rate</t>
  </si>
  <si>
    <t>Part of process</t>
  </si>
  <si>
    <t>Specific heat capacity of material</t>
  </si>
  <si>
    <t>Approx mass of material</t>
  </si>
  <si>
    <t>Low T</t>
  </si>
  <si>
    <t>High T</t>
  </si>
  <si>
    <t>delta-T</t>
  </si>
  <si>
    <t>Energy change</t>
  </si>
  <si>
    <t>J/kg/°C</t>
  </si>
  <si>
    <t>kg</t>
  </si>
  <si>
    <t xml:space="preserve">°C </t>
  </si>
  <si>
    <t>°C</t>
  </si>
  <si>
    <t>J/batch</t>
  </si>
  <si>
    <t>kWh/batch</t>
  </si>
  <si>
    <t>Heating the reactants</t>
  </si>
  <si>
    <t>water</t>
  </si>
  <si>
    <t>HPP recovered from extractive fermentation</t>
  </si>
  <si>
    <t>Juice fed</t>
  </si>
  <si>
    <t>mol HPP</t>
  </si>
  <si>
    <t>kWh/kg juice</t>
  </si>
  <si>
    <t>Electrodialysis energy consumption</t>
  </si>
  <si>
    <t>kWh per experiment</t>
  </si>
  <si>
    <t>average</t>
  </si>
  <si>
    <t>HCW</t>
  </si>
  <si>
    <t>Mixing</t>
  </si>
  <si>
    <t>Electro-separation</t>
  </si>
  <si>
    <t>Not shown, basic conversion</t>
  </si>
  <si>
    <t>http://re.jrc.ec.europa.eu/pvgis/</t>
  </si>
  <si>
    <t>Year</t>
  </si>
  <si>
    <r>
      <t>H</t>
    </r>
    <r>
      <rPr>
        <i/>
        <vertAlign val="subscript"/>
        <sz val="11"/>
        <color indexed="8"/>
        <rFont val="Times New Roman"/>
        <family val="1"/>
      </rPr>
      <t>h</t>
    </r>
    <r>
      <rPr>
        <sz val="11"/>
        <color indexed="8"/>
        <rFont val="Times New Roman"/>
        <family val="1"/>
      </rPr>
      <t>: Irradiation on horizontal plane (Wh/m</t>
    </r>
    <r>
      <rPr>
        <vertAlign val="superscript"/>
        <sz val="11"/>
        <color indexed="8"/>
        <rFont val="Times New Roman"/>
        <family val="1"/>
      </rPr>
      <t>2</t>
    </r>
    <r>
      <rPr>
        <sz val="11"/>
        <color indexed="8"/>
        <rFont val="Times New Roman"/>
        <family val="1"/>
      </rPr>
      <t>/day)</t>
    </r>
  </si>
  <si>
    <t>Source: PVGIS</t>
  </si>
  <si>
    <r>
      <t>Wh/m</t>
    </r>
    <r>
      <rPr>
        <vertAlign val="superscript"/>
        <sz val="11"/>
        <color indexed="8"/>
        <rFont val="Times New Roman"/>
        <family val="1"/>
      </rPr>
      <t>2</t>
    </r>
    <r>
      <rPr>
        <sz val="11"/>
        <color indexed="8"/>
        <rFont val="Times New Roman"/>
        <family val="1"/>
      </rPr>
      <t>/year</t>
    </r>
  </si>
  <si>
    <r>
      <t>fraction of H</t>
    </r>
    <r>
      <rPr>
        <vertAlign val="subscript"/>
        <sz val="11"/>
        <color indexed="8"/>
        <rFont val="Times New Roman"/>
        <family val="1"/>
      </rPr>
      <t>2</t>
    </r>
    <r>
      <rPr>
        <sz val="11"/>
        <color indexed="8"/>
        <rFont val="Times New Roman"/>
        <family val="1"/>
      </rPr>
      <t xml:space="preserve"> from PBR</t>
    </r>
  </si>
  <si>
    <t>W/3L</t>
  </si>
  <si>
    <t>kWh/day/3L</t>
  </si>
  <si>
    <t>Wh/day/3L</t>
  </si>
  <si>
    <t>Net power gen</t>
  </si>
  <si>
    <t>years</t>
  </si>
  <si>
    <t>tonnes in</t>
  </si>
  <si>
    <r>
      <t>m</t>
    </r>
    <r>
      <rPr>
        <vertAlign val="superscript"/>
        <sz val="11"/>
        <color indexed="8"/>
        <rFont val="Times New Roman"/>
        <family val="1"/>
      </rPr>
      <t>2</t>
    </r>
  </si>
  <si>
    <t>To process:</t>
  </si>
  <si>
    <t>hectares</t>
  </si>
  <si>
    <t>kW/ha</t>
  </si>
  <si>
    <t>Net energy output</t>
  </si>
  <si>
    <t>kWh / tonne raw waste</t>
  </si>
  <si>
    <r>
      <t>m</t>
    </r>
    <r>
      <rPr>
        <vertAlign val="superscript"/>
        <sz val="11"/>
        <color indexed="8"/>
        <rFont val="Times New Roman"/>
        <family val="1"/>
      </rPr>
      <t>2</t>
    </r>
    <r>
      <rPr>
        <sz val="11"/>
        <color indexed="8"/>
        <rFont val="Times New Roman"/>
        <family val="1"/>
      </rPr>
      <t>·years/tonne raw waste</t>
    </r>
  </si>
  <si>
    <t>Power to land ratio</t>
  </si>
  <si>
    <t>Power output</t>
  </si>
  <si>
    <t>kWh from 5000 tonne/year</t>
  </si>
  <si>
    <t>MWh/ha /year</t>
  </si>
  <si>
    <t>Reactant material</t>
  </si>
  <si>
    <r>
      <t>Mixing energy for dark fermentation</t>
    </r>
    <r>
      <rPr>
        <vertAlign val="superscript"/>
        <sz val="11"/>
        <color indexed="8"/>
        <rFont val="Times New Roman"/>
        <family val="1"/>
      </rPr>
      <t>c</t>
    </r>
  </si>
  <si>
    <r>
      <t xml:space="preserve">A: </t>
    </r>
    <r>
      <rPr>
        <sz val="12"/>
        <color indexed="8"/>
        <rFont val="Times New Roman"/>
        <family val="1"/>
      </rPr>
      <t>Gross energy production by a single-stage extractive fermentation.</t>
    </r>
  </si>
  <si>
    <r>
      <t>B:</t>
    </r>
    <r>
      <rPr>
        <sz val="12"/>
        <color indexed="8"/>
        <rFont val="Times New Roman"/>
        <family val="1"/>
      </rPr>
      <t xml:space="preserve"> Parasitic costs and net energy production of a single-stage extractive fermentation.</t>
    </r>
    <r>
      <rPr>
        <b/>
        <sz val="12"/>
        <color indexed="8"/>
        <rFont val="Times New Roman"/>
        <family val="1"/>
      </rPr>
      <t xml:space="preserve"> </t>
    </r>
  </si>
  <si>
    <r>
      <t>Total parasitic energy</t>
    </r>
    <r>
      <rPr>
        <vertAlign val="superscript"/>
        <sz val="11"/>
        <color indexed="8"/>
        <rFont val="Times New Roman"/>
        <family val="1"/>
      </rPr>
      <t>g</t>
    </r>
  </si>
  <si>
    <r>
      <t>Yield of juice from waste</t>
    </r>
    <r>
      <rPr>
        <vertAlign val="superscript"/>
        <sz val="11"/>
        <color indexed="8"/>
        <rFont val="Times New Roman"/>
        <family val="1"/>
      </rPr>
      <t>e</t>
    </r>
  </si>
  <si>
    <r>
      <t>kg HCW reactant/kg raw waste</t>
    </r>
    <r>
      <rPr>
        <vertAlign val="superscript"/>
        <sz val="11"/>
        <color indexed="8"/>
        <rFont val="Times New Roman"/>
        <family val="1"/>
      </rPr>
      <t>d</t>
    </r>
  </si>
  <si>
    <r>
      <t>kWh / kg raw waste</t>
    </r>
    <r>
      <rPr>
        <vertAlign val="superscript"/>
        <sz val="11"/>
        <color indexed="8"/>
        <rFont val="Times New Roman"/>
        <family val="1"/>
      </rPr>
      <t>e</t>
    </r>
  </si>
  <si>
    <r>
      <t>kWh/kg juice</t>
    </r>
    <r>
      <rPr>
        <vertAlign val="superscript"/>
        <sz val="11"/>
        <color indexed="8"/>
        <rFont val="Times New Roman"/>
        <family val="1"/>
      </rPr>
      <t>g</t>
    </r>
  </si>
  <si>
    <t xml:space="preserve">An integrated biohydrogen refinery: Synergy of photofermentation, extractive fermentation and hydrothermal hydrolysis of food wastes. </t>
  </si>
  <si>
    <t>The WEO also includes 3 tabs, laying out other computations that feed into the NER analysis or are mentioned in the text.</t>
  </si>
  <si>
    <r>
      <t xml:space="preserve">This spreadsheet is a </t>
    </r>
    <r>
      <rPr>
        <b/>
        <sz val="11"/>
        <color indexed="8"/>
        <rFont val="Times"/>
        <family val="1"/>
      </rPr>
      <t>web enhanced object</t>
    </r>
    <r>
      <rPr>
        <sz val="11"/>
        <color indexed="8"/>
        <rFont val="Times"/>
        <family val="1"/>
      </rPr>
      <t xml:space="preserve"> (WEO) within</t>
    </r>
  </si>
  <si>
    <t>Average</t>
  </si>
  <si>
    <t>Please note explanatory comments, shown by a red triangle in the top right of the cell. Mouse-over the cell to reveal the comment.</t>
  </si>
  <si>
    <t>The computational logic is structured roughly from left to right so that values on the left are used to calculate to the right.</t>
  </si>
  <si>
    <t>1. Re-stating data at the point of use (blue columns). In the manuscript there is merely a reference to first appearance of any values used in further calculation.</t>
  </si>
  <si>
    <r>
      <t xml:space="preserve">The main purpose of this WEO is to facilitate the comprehension of Tables 5 and 6, which present several stages of computation leading ultimately to the estimated net enery ratios of an extractive dark fermentation (Table 5) and an </t>
    </r>
    <r>
      <rPr>
        <i/>
        <sz val="11"/>
        <color indexed="8"/>
        <rFont val="Times"/>
        <family val="1"/>
      </rPr>
      <t>Integrated Biohydrogen Refinery</t>
    </r>
    <r>
      <rPr>
        <sz val="11"/>
        <color indexed="8"/>
        <rFont val="Times"/>
        <family val="1"/>
      </rPr>
      <t xml:space="preserve"> (Table 6) in which the organic acid products of dark fermentation support further H</t>
    </r>
    <r>
      <rPr>
        <vertAlign val="subscript"/>
        <sz val="11"/>
        <color indexed="8"/>
        <rFont val="Times"/>
        <family val="1"/>
      </rPr>
      <t>2</t>
    </r>
    <r>
      <rPr>
        <sz val="11"/>
        <color indexed="8"/>
        <rFont val="Times"/>
        <family val="1"/>
      </rPr>
      <t xml:space="preserve"> production by purple non-sulfur bacteria in a solar photobioreactor.</t>
    </r>
  </si>
  <si>
    <t>Mark D. Redwood,* Rafael L. Orozco, Artur J. Majewski and Lynne E. Macaskie</t>
  </si>
  <si>
    <t>*Corresponding author: m.d.redwood@bham.ac.uk</t>
  </si>
  <si>
    <t>The WEO enhances the manuscript by:-</t>
  </si>
  <si>
    <t>Fraction of parasitic energy from PBR</t>
  </si>
  <si>
    <t>Juice</t>
  </si>
  <si>
    <t>Infusion</t>
  </si>
  <si>
    <t>Wholesalers Mango</t>
  </si>
  <si>
    <t>Wholesalers Asian pear</t>
  </si>
  <si>
    <t>Wholesalers Avocado</t>
  </si>
  <si>
    <t>Catering waste 2</t>
  </si>
  <si>
    <t>Catering waste 3</t>
  </si>
  <si>
    <t>Brewers grain</t>
  </si>
  <si>
    <t>L H2/kg raw waste</t>
  </si>
  <si>
    <r>
      <t>H</t>
    </r>
    <r>
      <rPr>
        <vertAlign val="subscript"/>
        <sz val="11"/>
        <color indexed="8"/>
        <rFont val="Times New Roman"/>
        <family val="1"/>
      </rPr>
      <t>2</t>
    </r>
    <r>
      <rPr>
        <sz val="11"/>
        <color indexed="8"/>
        <rFont val="Times New Roman"/>
        <family val="1"/>
      </rPr>
      <t xml:space="preserve"> yield in juice-fed extractive fermentations</t>
    </r>
  </si>
  <si>
    <t>not shown; basic conversion</t>
  </si>
  <si>
    <t>Not shown, unnecessary</t>
  </si>
  <si>
    <t>J+I</t>
  </si>
  <si>
    <t>Days of mixing in experiment</t>
  </si>
  <si>
    <t>kWh/kg raw waste for juice</t>
  </si>
  <si>
    <t>kWh/kg raw waste for all 3 fractions</t>
  </si>
  <si>
    <t>kWh / kg raw waste for juice</t>
  </si>
  <si>
    <t>kWh / kg raw waste for all three fractions</t>
  </si>
  <si>
    <r>
      <t>Fraction of total H</t>
    </r>
    <r>
      <rPr>
        <vertAlign val="subscript"/>
        <sz val="11"/>
        <color indexed="8"/>
        <rFont val="Times New Roman"/>
        <family val="1"/>
      </rPr>
      <t>2</t>
    </r>
    <r>
      <rPr>
        <sz val="11"/>
        <color indexed="8"/>
        <rFont val="Times New Roman"/>
        <family val="1"/>
      </rPr>
      <t xml:space="preserve"> from </t>
    </r>
    <r>
      <rPr>
        <b/>
        <sz val="11"/>
        <color indexed="8"/>
        <rFont val="Times New Roman"/>
        <family val="1"/>
      </rPr>
      <t>infusion</t>
    </r>
    <r>
      <rPr>
        <sz val="11"/>
        <color indexed="8"/>
        <rFont val="Times New Roman"/>
        <family val="1"/>
      </rPr>
      <t>, in fermentability tests</t>
    </r>
    <r>
      <rPr>
        <vertAlign val="superscript"/>
        <sz val="11"/>
        <color indexed="8"/>
        <rFont val="Times New Roman"/>
        <family val="1"/>
      </rPr>
      <t>b</t>
    </r>
  </si>
  <si>
    <t>DF mixing energy</t>
  </si>
  <si>
    <t>Electrosep energy</t>
  </si>
  <si>
    <r>
      <t xml:space="preserve">kWh / kg raw waste for </t>
    </r>
    <r>
      <rPr>
        <b/>
        <sz val="11"/>
        <color indexed="8"/>
        <rFont val="Times New Roman"/>
        <family val="1"/>
      </rPr>
      <t>infusion</t>
    </r>
  </si>
  <si>
    <r>
      <t xml:space="preserve">kWh/kg raw waste for </t>
    </r>
    <r>
      <rPr>
        <b/>
        <sz val="11"/>
        <color indexed="8"/>
        <rFont val="Times New Roman"/>
        <family val="1"/>
      </rPr>
      <t>infusion</t>
    </r>
  </si>
  <si>
    <r>
      <t>Fraction of total H</t>
    </r>
    <r>
      <rPr>
        <vertAlign val="subscript"/>
        <sz val="11"/>
        <color indexed="8"/>
        <rFont val="Times New Roman"/>
        <family val="1"/>
      </rPr>
      <t>2</t>
    </r>
    <r>
      <rPr>
        <sz val="11"/>
        <color indexed="8"/>
        <rFont val="Times New Roman"/>
        <family val="1"/>
      </rPr>
      <t xml:space="preserve"> from </t>
    </r>
    <r>
      <rPr>
        <b/>
        <sz val="11"/>
        <color indexed="8"/>
        <rFont val="Times New Roman"/>
        <family val="1"/>
      </rPr>
      <t>hydrolysate</t>
    </r>
    <r>
      <rPr>
        <sz val="11"/>
        <color indexed="8"/>
        <rFont val="Times New Roman"/>
        <family val="1"/>
      </rPr>
      <t>, in fermentability tests</t>
    </r>
    <r>
      <rPr>
        <vertAlign val="superscript"/>
        <sz val="11"/>
        <color indexed="8"/>
        <rFont val="Times New Roman"/>
        <family val="1"/>
      </rPr>
      <t>b</t>
    </r>
  </si>
  <si>
    <r>
      <t xml:space="preserve">kWh / kg raw waste for </t>
    </r>
    <r>
      <rPr>
        <b/>
        <sz val="11"/>
        <color indexed="8"/>
        <rFont val="Times New Roman"/>
        <family val="1"/>
      </rPr>
      <t>hydrolysate</t>
    </r>
  </si>
  <si>
    <r>
      <t xml:space="preserve">kWh/kg raw waste for </t>
    </r>
    <r>
      <rPr>
        <b/>
        <sz val="11"/>
        <color indexed="8"/>
        <rFont val="Times New Roman"/>
        <family val="1"/>
      </rPr>
      <t>hydrolysate</t>
    </r>
  </si>
  <si>
    <r>
      <t>Total H</t>
    </r>
    <r>
      <rPr>
        <vertAlign val="subscript"/>
        <sz val="11"/>
        <color indexed="8"/>
        <rFont val="Times New Roman"/>
        <family val="1"/>
      </rPr>
      <t>2</t>
    </r>
    <r>
      <rPr>
        <sz val="11"/>
        <color indexed="8"/>
        <rFont val="Times New Roman"/>
        <family val="1"/>
      </rPr>
      <t xml:space="preserve"> yield from juice+infusion NOT hydrolysate</t>
    </r>
  </si>
  <si>
    <r>
      <t>HPP</t>
    </r>
    <r>
      <rPr>
        <sz val="11"/>
        <color indexed="8"/>
        <rFont val="Times New Roman"/>
        <family val="1"/>
      </rPr>
      <t xml:space="preserve"> yield from juice+infusion</t>
    </r>
  </si>
  <si>
    <r>
      <t>Fraction of total H</t>
    </r>
    <r>
      <rPr>
        <vertAlign val="subscript"/>
        <sz val="11"/>
        <color indexed="8"/>
        <rFont val="Times New Roman"/>
        <family val="1"/>
      </rPr>
      <t>2</t>
    </r>
    <r>
      <rPr>
        <sz val="11"/>
        <color indexed="8"/>
        <rFont val="Times New Roman"/>
        <family val="1"/>
      </rPr>
      <t xml:space="preserve"> from </t>
    </r>
    <r>
      <rPr>
        <b/>
        <sz val="11"/>
        <color indexed="8"/>
        <rFont val="Times New Roman"/>
        <family val="1"/>
      </rPr>
      <t>juice</t>
    </r>
    <r>
      <rPr>
        <sz val="11"/>
        <color indexed="8"/>
        <rFont val="Times New Roman"/>
        <family val="1"/>
      </rPr>
      <t>, in fermentability tests</t>
    </r>
    <r>
      <rPr>
        <vertAlign val="superscript"/>
        <sz val="11"/>
        <color indexed="8"/>
        <rFont val="Times New Roman"/>
        <family val="1"/>
      </rPr>
      <t>b</t>
    </r>
  </si>
  <si>
    <r>
      <t xml:space="preserve">kWh / kg raw waste for </t>
    </r>
    <r>
      <rPr>
        <b/>
        <sz val="11"/>
        <color indexed="8"/>
        <rFont val="Times New Roman"/>
        <family val="1"/>
      </rPr>
      <t>juice</t>
    </r>
  </si>
  <si>
    <r>
      <t xml:space="preserve">kWh/kg raw waste for </t>
    </r>
    <r>
      <rPr>
        <b/>
        <sz val="11"/>
        <color indexed="8"/>
        <rFont val="Times New Roman"/>
        <family val="1"/>
      </rPr>
      <t>juice</t>
    </r>
  </si>
  <si>
    <t>kW at 5000 t/year</t>
  </si>
  <si>
    <t>land area requirement</t>
  </si>
  <si>
    <t>Hydrolysate</t>
  </si>
  <si>
    <t>Juice only</t>
  </si>
  <si>
    <t>infusion only</t>
  </si>
  <si>
    <t>hydrolysate only</t>
  </si>
  <si>
    <t>Juice and infusion only</t>
  </si>
  <si>
    <t>Net Energy Ratio (NER)</t>
  </si>
  <si>
    <t>Solid outputs (kg/kg raw waste)</t>
  </si>
  <si>
    <t>% reduction</t>
  </si>
  <si>
    <t>total</t>
  </si>
  <si>
    <r>
      <t xml:space="preserve">kWh / kg raw waste for all three fractions </t>
    </r>
    <r>
      <rPr>
        <b/>
        <sz val="11"/>
        <color indexed="8"/>
        <rFont val="Times New Roman"/>
        <family val="1"/>
      </rPr>
      <t>(total)</t>
    </r>
  </si>
  <si>
    <t>Total (all 3 fractions)</t>
  </si>
  <si>
    <t>DF mixing</t>
  </si>
  <si>
    <t>PF mixing</t>
  </si>
  <si>
    <r>
      <t>NER sensitivity to HCW heat recovery fraction</t>
    </r>
    <r>
      <rPr>
        <b/>
        <sz val="11"/>
        <color indexed="8"/>
        <rFont val="Times New Roman"/>
        <family val="1"/>
      </rPr>
      <t/>
    </r>
  </si>
  <si>
    <r>
      <t>kW for 10 m</t>
    </r>
    <r>
      <rPr>
        <vertAlign val="superscript"/>
        <sz val="11"/>
        <color indexed="8"/>
        <rFont val="Times New Roman"/>
        <family val="1"/>
      </rPr>
      <t>3</t>
    </r>
    <r>
      <rPr>
        <sz val="11"/>
        <color indexed="8"/>
        <rFont val="Times New Roman"/>
        <family val="1"/>
      </rPr>
      <t>, turnover ~2h (Mills, 1979)</t>
    </r>
  </si>
  <si>
    <t>Fermentation Mixing energy</t>
  </si>
  <si>
    <t>mixing energy input from Burgess 2007 - for a tube radius of 45mm</t>
  </si>
  <si>
    <t>Photobioreactor mixing energy</t>
  </si>
  <si>
    <t>Distribution of parasitic energy (in dark fermentation system only)</t>
  </si>
  <si>
    <r>
      <t>W/m</t>
    </r>
    <r>
      <rPr>
        <vertAlign val="superscript"/>
        <sz val="11"/>
        <color indexed="8"/>
        <rFont val="Times New Roman"/>
        <family val="1"/>
      </rPr>
      <t>3</t>
    </r>
    <r>
      <rPr>
        <sz val="11"/>
        <color indexed="8"/>
        <rFont val="Times New Roman"/>
        <family val="1"/>
      </rPr>
      <t>, turnover ~5h</t>
    </r>
  </si>
  <si>
    <r>
      <t xml:space="preserve">The example shown is </t>
    </r>
    <r>
      <rPr>
        <b/>
        <sz val="11"/>
        <color indexed="8"/>
        <rFont val="Calibri"/>
        <family val="2"/>
      </rPr>
      <t>Wholesalers waste Mango</t>
    </r>
  </si>
  <si>
    <t>Fractions of total</t>
  </si>
  <si>
    <t>The analysis shows that HCW always has a negative impact on NER, sometimes strongly, but in all cases the NER remained &gt;2 even with HCW treatment. The loss in NER may be offset by the 90% (average) reduction in solid waste leaving the refinery.</t>
  </si>
  <si>
    <t>HCW heat recovery fraction</t>
  </si>
  <si>
    <r>
      <rPr>
        <vertAlign val="superscript"/>
        <sz val="11"/>
        <color indexed="8"/>
        <rFont val="Calibri"/>
        <family val="2"/>
      </rPr>
      <t>a</t>
    </r>
    <r>
      <rPr>
        <sz val="11"/>
        <color theme="1"/>
        <rFont val="Calibri"/>
        <family val="2"/>
        <scheme val="minor"/>
      </rPr>
      <t xml:space="preserve">No juice or infusion could be produced due to the physical nature of the waste; </t>
    </r>
    <r>
      <rPr>
        <vertAlign val="superscript"/>
        <sz val="11"/>
        <color indexed="8"/>
        <rFont val="Calibri"/>
        <family val="2"/>
      </rPr>
      <t>b</t>
    </r>
    <r>
      <rPr>
        <sz val="11"/>
        <color theme="1"/>
        <rFont val="Calibri"/>
        <family val="2"/>
        <scheme val="minor"/>
      </rPr>
      <t>HCW hydrolysis took place at 200 °C except for grain which was at 220 °C. Catering waste 3 contained a high proportion of starch (Table 1). Hydrolysates were detoxified with activated carbon. The use of HCW hydrolysis to generate fermentable sugars and the beneficial effect of detoxification were reported previously.19</t>
    </r>
  </si>
  <si>
    <t>a</t>
  </si>
  <si>
    <t>WEO4: HCW heat requirement</t>
  </si>
  <si>
    <t>WEO5: Irradiance and land use rate</t>
  </si>
  <si>
    <t>Reactant was 96.9% water, treated as if 100%.</t>
  </si>
  <si>
    <t>Heat production</t>
  </si>
  <si>
    <t>Dark Fermentation</t>
  </si>
  <si>
    <t>Photo-Fermentation</t>
  </si>
  <si>
    <t>Factor enhance-ment by PF</t>
  </si>
  <si>
    <r>
      <t>Total bioH</t>
    </r>
    <r>
      <rPr>
        <vertAlign val="subscript"/>
        <sz val="11"/>
        <color indexed="8"/>
        <rFont val="Times New Roman"/>
        <family val="1"/>
      </rPr>
      <t>2</t>
    </r>
    <r>
      <rPr>
        <sz val="11"/>
        <color indexed="8"/>
        <rFont val="Times New Roman"/>
        <family val="1"/>
      </rPr>
      <t xml:space="preserve"> yield from juice, infusion and hydrolysate</t>
    </r>
  </si>
  <si>
    <t>4. Showing further interpretation and graphical representations, such as a stacked bar chart of parasitic energy requirements.</t>
  </si>
  <si>
    <t>2. Allowing the reader to view the formulae connecting values shown. Click on any data cell to view the formula in the formula barand the relevant cells will be highlighted if visible in the current tab.</t>
  </si>
  <si>
    <t>Proportions</t>
  </si>
  <si>
    <t>in Kampala</t>
  </si>
  <si>
    <r>
      <t xml:space="preserve">WEO1. </t>
    </r>
    <r>
      <rPr>
        <sz val="12"/>
        <color indexed="8"/>
        <rFont val="Times"/>
        <family val="1"/>
      </rPr>
      <t>Hydrogen yields in 15 mL fermentability tests (from Table 1.)</t>
    </r>
  </si>
  <si>
    <t>pre-treatment energy for 1 mol glucose:</t>
  </si>
  <si>
    <t>infusion</t>
  </si>
  <si>
    <t>yields (kg/kg)</t>
  </si>
  <si>
    <t>mM hexose equivalent</t>
  </si>
  <si>
    <t>pretreatment cost</t>
  </si>
  <si>
    <r>
      <t>kWh / mol glucose</t>
    </r>
    <r>
      <rPr>
        <vertAlign val="subscript"/>
        <sz val="11"/>
        <color indexed="8"/>
        <rFont val="Calibri"/>
        <family val="2"/>
      </rPr>
      <t>e</t>
    </r>
  </si>
  <si>
    <t>fermentable hexose yields (mmol/kg)</t>
  </si>
  <si>
    <t>kJ/mol glucose</t>
  </si>
  <si>
    <t>919+440</t>
  </si>
  <si>
    <t>hydro-lysate</t>
  </si>
  <si>
    <t>=</t>
  </si>
  <si>
    <r>
      <t>NER including pre-treatment</t>
    </r>
    <r>
      <rPr>
        <b/>
        <sz val="11"/>
        <color indexed="8"/>
        <rFont val="Calibri"/>
        <family val="2"/>
      </rPr>
      <t xml:space="preserve"> =</t>
    </r>
  </si>
  <si>
    <t>Land usage</t>
  </si>
  <si>
    <t>Estimation of land usage</t>
  </si>
  <si>
    <t>in Brussels</t>
  </si>
  <si>
    <r>
      <t>MWh/m</t>
    </r>
    <r>
      <rPr>
        <b/>
        <vertAlign val="superscript"/>
        <sz val="11"/>
        <color indexed="8"/>
        <rFont val="Times New Roman"/>
        <family val="1"/>
      </rPr>
      <t>2</t>
    </r>
    <r>
      <rPr>
        <b/>
        <sz val="11"/>
        <color indexed="8"/>
        <rFont val="Times New Roman"/>
        <family val="1"/>
      </rPr>
      <t>/year</t>
    </r>
  </si>
  <si>
    <t>Introduction</t>
  </si>
  <si>
    <t>WEO2: Table 3 A,B</t>
  </si>
  <si>
    <t>WEO3: Table 3 (C,D)</t>
  </si>
  <si>
    <r>
      <t>Values were calculated from the data of Cheng &amp; Logan (2007), using the reported H2 yield (8.55 mol H2/mol glucose) and energetic efficiency (266%), which were confirmed in more recent studies.</t>
    </r>
    <r>
      <rPr>
        <vertAlign val="superscript"/>
        <sz val="11"/>
        <color indexed="8"/>
        <rFont val="Calibri"/>
        <family val="2"/>
      </rPr>
      <t>55</t>
    </r>
  </si>
  <si>
    <t xml:space="preserve">WEO11. Net energy analysis of a hypothetical microbial electrolysis process. </t>
  </si>
  <si>
    <t>Not shown, duplicates, Table 1</t>
  </si>
  <si>
    <r>
      <t>Hydrolyzate</t>
    </r>
    <r>
      <rPr>
        <vertAlign val="superscript"/>
        <sz val="11"/>
        <color indexed="8"/>
        <rFont val="Calibri"/>
        <family val="2"/>
      </rPr>
      <t>f</t>
    </r>
  </si>
  <si>
    <t>From Figure 1</t>
  </si>
  <si>
    <t>Yield of juice from waste</t>
  </si>
  <si>
    <r>
      <t>kWh / mol HPP</t>
    </r>
    <r>
      <rPr>
        <vertAlign val="superscript"/>
        <sz val="11"/>
        <color indexed="8"/>
        <rFont val="Times New Roman"/>
        <family val="1"/>
      </rPr>
      <t>e</t>
    </r>
  </si>
  <si>
    <r>
      <t>Fraction of total H</t>
    </r>
    <r>
      <rPr>
        <vertAlign val="subscript"/>
        <sz val="11"/>
        <color indexed="8"/>
        <rFont val="Times New Roman"/>
        <family val="1"/>
      </rPr>
      <t>2</t>
    </r>
    <r>
      <rPr>
        <sz val="11"/>
        <color indexed="8"/>
        <rFont val="Times New Roman"/>
        <family val="1"/>
      </rPr>
      <t xml:space="preserve"> from juice, in fermentability tests</t>
    </r>
  </si>
  <si>
    <r>
      <t>Total parasitic energy</t>
    </r>
    <r>
      <rPr>
        <vertAlign val="superscript"/>
        <sz val="11"/>
        <color indexed="8"/>
        <rFont val="Times New Roman"/>
        <family val="1"/>
      </rPr>
      <t>k</t>
    </r>
  </si>
  <si>
    <t>WEO6: Distribition of parasitic energy requirements in the IBHR</t>
  </si>
  <si>
    <t>WEO7: IBHRs processing 5000 tonnes per annum</t>
  </si>
  <si>
    <t>WEO9: IBHRs without HCW hydrolysis</t>
  </si>
  <si>
    <t>WEO10: Impact of HCW on the IBHR's NER and biowaste destruction</t>
  </si>
  <si>
    <t>C: Gross energy production by an integrated biohydrogen refinery (IBHR).</t>
  </si>
  <si>
    <t>A: Gross energy production by an integrated biohydrogen refinery (IBHR) using ONLY Juice and Infusion without hydrolysis of pressings</t>
  </si>
  <si>
    <t>kWh/kg raw waste (complete IBHR)</t>
  </si>
  <si>
    <t>complete IBHR</t>
  </si>
  <si>
    <t>These 2 tables investigate the possibility of omitting HCW and fermenting only the Juice and infusion fractions. The washed pressings would leave the IBHR as a waste or co-product. The bioH2 potential of the hydrolysate would be sacrificed but the parasitic cost of HCW treatment would be avoided along with the costs of converting the hydrolysate to H2 (mixing and OA separation).</t>
  </si>
  <si>
    <t>Waste destruction in IBHR</t>
  </si>
  <si>
    <t>3. Allowing the reader to experiment with the sensitivity of the IBHR to changes in key variables, such as annual irradiance or heat recovery.</t>
  </si>
  <si>
    <t>D: Parasitic costs and net energy production of an integrated biohydrogen refinery (IBHR).</t>
  </si>
  <si>
    <t>B: Parasitic costs and net energy production of an integrated biohydrogen refinery (IBHR) using ONLY Juice and Infusion without hydrolysis of pressings.</t>
  </si>
  <si>
    <t>Not shown, does not apply to complete IBHR</t>
  </si>
  <si>
    <r>
      <rPr>
        <i/>
        <sz val="14"/>
        <color indexed="8"/>
        <rFont val="Times"/>
        <family val="1"/>
      </rPr>
      <t>Bioresource Technol</t>
    </r>
    <r>
      <rPr>
        <sz val="14"/>
        <color indexed="8"/>
        <rFont val="Times"/>
        <family val="1"/>
      </rPr>
      <t xml:space="preserve"> (submitted Jan 2012).</t>
    </r>
  </si>
  <si>
    <t>kWh/tonne</t>
  </si>
  <si>
    <t xml:space="preserve">WEO8: Figure 3. Techno-economic analysis of an integrated biohydrogen refinery (IBHR) using pre-treatment by HCW and extractive fermentation. 
Annotations in bold italics indicate the features of a process using wholesalers mango waste, where values are derived from the experimental data of this study. aIncentive revenues were based on current UK feed-in tariff for anaerobic digestion: GBP 0.14/kWh up to 250 kW; bFuel cell efficiency: 75%; cApprox. price of exported power: GBP 0.06/kWh; dIn addition to bioH2, the IBHR also produces H2 via electrolysis however the yield of electrolytic H2 in a full scale IBHR is unclear hence only bioH2 was included in this analysis. HCW: hot compressed water. eExcess E. coli and R. sphaeroides cells can be valorised via metal recovery for fuel cell manufacture.25,65
</t>
  </si>
  <si>
    <t>kWh/mol glucose</t>
  </si>
  <si>
    <t>mol glucose/kg waste</t>
  </si>
  <si>
    <t>kWh/kg waste</t>
  </si>
  <si>
    <t>kWh/tonne waste without pretreatment</t>
  </si>
  <si>
    <t>Without pretreatment</t>
  </si>
  <si>
    <t>With pretreatment</t>
  </si>
  <si>
    <t>with pretreatment</t>
  </si>
</sst>
</file>

<file path=xl/styles.xml><?xml version="1.0" encoding="utf-8"?>
<styleSheet xmlns="http://schemas.openxmlformats.org/spreadsheetml/2006/main">
  <numFmts count="6">
    <numFmt numFmtId="164" formatCode="0.00000"/>
    <numFmt numFmtId="165" formatCode="0.0000"/>
    <numFmt numFmtId="166" formatCode="0.000"/>
    <numFmt numFmtId="167" formatCode="0.0%"/>
    <numFmt numFmtId="168" formatCode="0.000000"/>
    <numFmt numFmtId="169" formatCode="0.0"/>
  </numFmts>
  <fonts count="64">
    <font>
      <sz val="11"/>
      <color theme="1"/>
      <name val="Calibri"/>
      <family val="2"/>
      <scheme val="minor"/>
    </font>
    <font>
      <sz val="11"/>
      <color indexed="8"/>
      <name val="Times New Roman"/>
      <family val="1"/>
    </font>
    <font>
      <vertAlign val="subscript"/>
      <sz val="11"/>
      <color indexed="8"/>
      <name val="Times New Roman"/>
      <family val="1"/>
    </font>
    <font>
      <vertAlign val="superscript"/>
      <sz val="11"/>
      <color indexed="8"/>
      <name val="Times New Roman"/>
      <family val="1"/>
    </font>
    <font>
      <b/>
      <sz val="11"/>
      <color indexed="8"/>
      <name val="Times New Roman"/>
      <family val="1"/>
    </font>
    <font>
      <b/>
      <sz val="8"/>
      <color indexed="81"/>
      <name val="Tahoma"/>
      <family val="2"/>
    </font>
    <font>
      <sz val="8"/>
      <color indexed="81"/>
      <name val="Tahoma"/>
      <family val="2"/>
    </font>
    <font>
      <sz val="11"/>
      <name val="Times New Roman"/>
      <family val="1"/>
    </font>
    <font>
      <i/>
      <vertAlign val="subscript"/>
      <sz val="11"/>
      <color indexed="8"/>
      <name val="Times New Roman"/>
      <family val="1"/>
    </font>
    <font>
      <b/>
      <vertAlign val="superscript"/>
      <sz val="11"/>
      <color indexed="8"/>
      <name val="Times New Roman"/>
      <family val="1"/>
    </font>
    <font>
      <b/>
      <sz val="12"/>
      <color indexed="8"/>
      <name val="Times New Roman"/>
      <family val="1"/>
    </font>
    <font>
      <sz val="12"/>
      <color indexed="8"/>
      <name val="Times New Roman"/>
      <family val="1"/>
    </font>
    <font>
      <sz val="11"/>
      <color indexed="8"/>
      <name val="Times"/>
      <family val="1"/>
    </font>
    <font>
      <b/>
      <sz val="11"/>
      <color indexed="8"/>
      <name val="Times"/>
      <family val="1"/>
    </font>
    <font>
      <sz val="14"/>
      <color indexed="8"/>
      <name val="Times"/>
      <family val="1"/>
    </font>
    <font>
      <i/>
      <sz val="14"/>
      <color indexed="8"/>
      <name val="Times"/>
      <family val="1"/>
    </font>
    <font>
      <i/>
      <sz val="11"/>
      <color indexed="8"/>
      <name val="Times"/>
      <family val="1"/>
    </font>
    <font>
      <vertAlign val="subscript"/>
      <sz val="11"/>
      <color indexed="8"/>
      <name val="Times"/>
      <family val="1"/>
    </font>
    <font>
      <b/>
      <sz val="11"/>
      <color indexed="8"/>
      <name val="Calibri"/>
      <family val="2"/>
    </font>
    <font>
      <sz val="11"/>
      <color indexed="8"/>
      <name val="Calibri"/>
      <family val="2"/>
    </font>
    <font>
      <sz val="12"/>
      <color indexed="8"/>
      <name val="Times"/>
      <family val="1"/>
    </font>
    <font>
      <vertAlign val="superscript"/>
      <sz val="11"/>
      <color indexed="8"/>
      <name val="Calibri"/>
      <family val="2"/>
    </font>
    <font>
      <vertAlign val="subscript"/>
      <sz val="11"/>
      <color indexed="8"/>
      <name val="Calibri"/>
      <family val="2"/>
    </font>
    <font>
      <sz val="11"/>
      <name val="Times"/>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9.9"/>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sz val="11"/>
      <color rgb="FF000000"/>
      <name val="Times New Roman"/>
      <family val="1"/>
    </font>
    <font>
      <sz val="11"/>
      <color rgb="FFFF0000"/>
      <name val="Times New Roman"/>
      <family val="1"/>
    </font>
    <font>
      <b/>
      <i/>
      <sz val="11"/>
      <color theme="1"/>
      <name val="Times New Roman"/>
      <family val="1"/>
    </font>
    <font>
      <b/>
      <u/>
      <sz val="11"/>
      <color theme="1"/>
      <name val="Times New Roman"/>
      <family val="1"/>
    </font>
    <font>
      <b/>
      <sz val="11"/>
      <color theme="1"/>
      <name val="Times New Roman"/>
      <family val="1"/>
    </font>
    <font>
      <b/>
      <sz val="12"/>
      <color theme="1"/>
      <name val="Times New Roman"/>
      <family val="1"/>
    </font>
    <font>
      <sz val="11"/>
      <color theme="1"/>
      <name val="Times"/>
      <family val="1"/>
    </font>
    <font>
      <b/>
      <sz val="16"/>
      <color theme="1"/>
      <name val="Times"/>
      <family val="1"/>
    </font>
    <font>
      <i/>
      <sz val="14"/>
      <color theme="1"/>
      <name val="Times"/>
      <family val="1"/>
    </font>
    <font>
      <b/>
      <i/>
      <sz val="11"/>
      <color theme="1"/>
      <name val="Calibri"/>
      <family val="2"/>
      <scheme val="minor"/>
    </font>
    <font>
      <b/>
      <u/>
      <sz val="11"/>
      <color theme="1"/>
      <name val="Calibri"/>
      <family val="2"/>
      <scheme val="minor"/>
    </font>
    <font>
      <u/>
      <sz val="11"/>
      <color theme="1"/>
      <name val="Times New Roman"/>
      <family val="1"/>
    </font>
    <font>
      <u/>
      <sz val="11"/>
      <color theme="1"/>
      <name val="Calibri"/>
      <family val="2"/>
      <scheme val="minor"/>
    </font>
    <font>
      <vertAlign val="superscript"/>
      <sz val="11"/>
      <color theme="1"/>
      <name val="Calibri"/>
      <family val="2"/>
      <scheme val="minor"/>
    </font>
    <font>
      <i/>
      <sz val="11"/>
      <color theme="1"/>
      <name val="Times New Roman"/>
      <family val="1"/>
    </font>
    <font>
      <b/>
      <sz val="11"/>
      <color theme="1"/>
      <name val="Times"/>
      <family val="1"/>
    </font>
    <font>
      <sz val="16"/>
      <color theme="1"/>
      <name val="Times"/>
      <family val="1"/>
    </font>
    <font>
      <sz val="16"/>
      <color theme="1"/>
      <name val="Calibri"/>
      <family val="2"/>
      <scheme val="minor"/>
    </font>
    <font>
      <b/>
      <sz val="12"/>
      <color theme="1"/>
      <name val="Times"/>
      <family val="1"/>
    </font>
    <font>
      <i/>
      <sz val="11"/>
      <color rgb="FFFF0000"/>
      <name val="Calibri"/>
      <family val="2"/>
      <scheme val="minor"/>
    </font>
    <font>
      <u/>
      <sz val="11"/>
      <color theme="1"/>
      <name val="Times"/>
      <family val="1"/>
    </font>
  </fonts>
  <fills count="4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CC66"/>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bgColor indexed="64"/>
      </patternFill>
    </fill>
  </fills>
  <borders count="42">
    <border>
      <left/>
      <right/>
      <top/>
      <bottom/>
      <diagonal/>
    </border>
    <border>
      <left/>
      <right/>
      <top/>
      <bottom style="medium">
        <color indexed="64"/>
      </bottom>
      <diagonal/>
    </border>
    <border>
      <left/>
      <right/>
      <top/>
      <bottom style="thick">
        <color indexed="64"/>
      </bottom>
      <diagonal/>
    </border>
    <border>
      <left/>
      <right/>
      <top style="thick">
        <color indexed="64"/>
      </top>
      <bottom style="medium">
        <color indexed="64"/>
      </bottom>
      <diagonal/>
    </border>
    <border>
      <left/>
      <right/>
      <top style="thick">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3" applyNumberFormat="0" applyAlignment="0" applyProtection="0"/>
    <xf numFmtId="0" fontId="28" fillId="28" borderId="34"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5" applyNumberFormat="0" applyFill="0" applyAlignment="0" applyProtection="0"/>
    <xf numFmtId="0" fontId="32" fillId="0" borderId="36" applyNumberFormat="0" applyFill="0" applyAlignment="0" applyProtection="0"/>
    <xf numFmtId="0" fontId="33" fillId="0" borderId="37"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30" borderId="33" applyNumberFormat="0" applyAlignment="0" applyProtection="0"/>
    <xf numFmtId="0" fontId="36" fillId="0" borderId="38" applyNumberFormat="0" applyFill="0" applyAlignment="0" applyProtection="0"/>
    <xf numFmtId="0" fontId="37" fillId="31" borderId="0" applyNumberFormat="0" applyBorder="0" applyAlignment="0" applyProtection="0"/>
    <xf numFmtId="0" fontId="24" fillId="32" borderId="39" applyNumberFormat="0" applyFont="0" applyAlignment="0" applyProtection="0"/>
    <xf numFmtId="0" fontId="38" fillId="27" borderId="40" applyNumberFormat="0" applyAlignment="0" applyProtection="0"/>
    <xf numFmtId="9" fontId="24" fillId="0" borderId="0" applyFont="0" applyFill="0" applyBorder="0" applyAlignment="0" applyProtection="0"/>
    <xf numFmtId="9" fontId="19" fillId="0" borderId="0" applyFont="0" applyFill="0" applyBorder="0" applyAlignment="0" applyProtection="0"/>
    <xf numFmtId="0" fontId="39" fillId="0" borderId="0" applyNumberFormat="0" applyFill="0" applyBorder="0" applyAlignment="0" applyProtection="0"/>
    <xf numFmtId="0" fontId="40" fillId="0" borderId="41" applyNumberFormat="0" applyFill="0" applyAlignment="0" applyProtection="0"/>
    <xf numFmtId="0" fontId="41" fillId="0" borderId="0" applyNumberFormat="0" applyFill="0" applyBorder="0" applyAlignment="0" applyProtection="0"/>
  </cellStyleXfs>
  <cellXfs count="461">
    <xf numFmtId="0" fontId="0" fillId="0" borderId="0" xfId="0"/>
    <xf numFmtId="0" fontId="42" fillId="0" borderId="0" xfId="0" applyFont="1"/>
    <xf numFmtId="0" fontId="42" fillId="0" borderId="1" xfId="0" applyFont="1" applyBorder="1" applyAlignment="1">
      <alignment horizontal="left" vertical="top" wrapText="1"/>
    </xf>
    <xf numFmtId="0" fontId="42" fillId="0" borderId="0" xfId="0" applyFont="1" applyAlignment="1">
      <alignment horizontal="left" vertical="top" wrapText="1"/>
    </xf>
    <xf numFmtId="0" fontId="42" fillId="0" borderId="2" xfId="0" applyFont="1" applyBorder="1" applyAlignment="1">
      <alignment horizontal="left" vertical="top" wrapText="1"/>
    </xf>
    <xf numFmtId="165" fontId="42" fillId="0" borderId="0" xfId="0" applyNumberFormat="1" applyFont="1" applyAlignment="1">
      <alignment horizontal="left" vertical="top" wrapText="1"/>
    </xf>
    <xf numFmtId="166" fontId="42" fillId="0" borderId="0" xfId="0" applyNumberFormat="1" applyFont="1" applyAlignment="1">
      <alignment horizontal="left" vertical="top" wrapText="1"/>
    </xf>
    <xf numFmtId="167" fontId="42" fillId="0" borderId="0" xfId="0" applyNumberFormat="1" applyFont="1" applyAlignment="1">
      <alignment horizontal="left" vertical="top" wrapText="1"/>
    </xf>
    <xf numFmtId="166" fontId="42" fillId="0" borderId="2" xfId="0" applyNumberFormat="1" applyFont="1" applyBorder="1" applyAlignment="1">
      <alignment horizontal="left" vertical="top" wrapText="1"/>
    </xf>
    <xf numFmtId="167" fontId="42" fillId="0" borderId="2" xfId="40" applyNumberFormat="1" applyFont="1" applyBorder="1" applyAlignment="1">
      <alignment horizontal="left" vertical="top" wrapText="1"/>
    </xf>
    <xf numFmtId="0" fontId="42" fillId="0" borderId="3" xfId="0" applyFont="1" applyBorder="1" applyAlignment="1">
      <alignment horizontal="left" vertical="top" wrapText="1"/>
    </xf>
    <xf numFmtId="166" fontId="43" fillId="0" borderId="0" xfId="0" applyNumberFormat="1" applyFont="1" applyAlignment="1">
      <alignment horizontal="left" wrapText="1"/>
    </xf>
    <xf numFmtId="166" fontId="42" fillId="0" borderId="0" xfId="0" applyNumberFormat="1" applyFont="1" applyAlignment="1">
      <alignment horizontal="left"/>
    </xf>
    <xf numFmtId="166" fontId="42" fillId="0" borderId="0" xfId="0" applyNumberFormat="1" applyFont="1"/>
    <xf numFmtId="9" fontId="42" fillId="0" borderId="0" xfId="0" applyNumberFormat="1" applyFont="1"/>
    <xf numFmtId="166" fontId="43" fillId="0" borderId="1" xfId="0" applyNumberFormat="1" applyFont="1" applyBorder="1" applyAlignment="1">
      <alignment horizontal="left" wrapText="1"/>
    </xf>
    <xf numFmtId="166" fontId="42" fillId="0" borderId="1" xfId="0" applyNumberFormat="1" applyFont="1" applyBorder="1" applyAlignment="1">
      <alignment horizontal="left"/>
    </xf>
    <xf numFmtId="0" fontId="42" fillId="0" borderId="4" xfId="0" applyFont="1" applyBorder="1" applyAlignment="1">
      <alignment horizontal="left" vertical="top" wrapText="1"/>
    </xf>
    <xf numFmtId="0" fontId="42" fillId="0" borderId="5" xfId="0" applyFont="1" applyBorder="1" applyAlignment="1">
      <alignment horizontal="left" vertical="top" wrapText="1"/>
    </xf>
    <xf numFmtId="0" fontId="42" fillId="0" borderId="0" xfId="0" applyFont="1" applyBorder="1" applyAlignment="1">
      <alignment horizontal="left" vertical="top" wrapText="1"/>
    </xf>
    <xf numFmtId="166" fontId="42" fillId="0" borderId="1" xfId="0" applyNumberFormat="1" applyFont="1" applyBorder="1" applyAlignment="1">
      <alignment horizontal="left" vertical="top" wrapText="1"/>
    </xf>
    <xf numFmtId="2" fontId="43" fillId="0" borderId="0" xfId="0" applyNumberFormat="1" applyFont="1" applyAlignment="1">
      <alignment horizontal="left" wrapText="1"/>
    </xf>
    <xf numFmtId="2" fontId="43" fillId="0" borderId="1" xfId="0" applyNumberFormat="1" applyFont="1" applyBorder="1" applyAlignment="1">
      <alignment horizontal="left" wrapText="1"/>
    </xf>
    <xf numFmtId="164" fontId="42" fillId="0" borderId="0" xfId="0" applyNumberFormat="1" applyFont="1" applyAlignment="1">
      <alignment horizontal="left"/>
    </xf>
    <xf numFmtId="164" fontId="42" fillId="0" borderId="1" xfId="0" applyNumberFormat="1" applyFont="1" applyBorder="1" applyAlignment="1">
      <alignment horizontal="left"/>
    </xf>
    <xf numFmtId="0" fontId="44" fillId="0" borderId="0" xfId="0" applyFont="1" applyFill="1" applyBorder="1" applyAlignment="1">
      <alignment horizontal="left" vertical="top" wrapText="1"/>
    </xf>
    <xf numFmtId="0" fontId="42" fillId="0" borderId="5" xfId="0" applyFont="1" applyBorder="1" applyAlignment="1">
      <alignment horizontal="left" vertical="top" wrapText="1"/>
    </xf>
    <xf numFmtId="0" fontId="42" fillId="0" borderId="4" xfId="0" applyFont="1" applyBorder="1" applyAlignment="1">
      <alignment horizontal="left" vertical="top" wrapText="1"/>
    </xf>
    <xf numFmtId="165" fontId="43" fillId="0" borderId="0" xfId="0" applyNumberFormat="1" applyFont="1" applyAlignment="1">
      <alignment horizontal="left" vertical="top" wrapText="1"/>
    </xf>
    <xf numFmtId="167" fontId="42" fillId="0" borderId="0" xfId="40" applyNumberFormat="1" applyFont="1" applyAlignment="1">
      <alignment horizontal="left" vertical="top" wrapText="1"/>
    </xf>
    <xf numFmtId="165" fontId="42" fillId="0" borderId="2" xfId="0" applyNumberFormat="1" applyFont="1" applyBorder="1" applyAlignment="1">
      <alignment horizontal="left" vertical="top" wrapText="1"/>
    </xf>
    <xf numFmtId="0" fontId="42" fillId="0" borderId="0" xfId="0" applyFont="1" applyFill="1" applyBorder="1" applyAlignment="1">
      <alignment horizontal="left" vertical="top"/>
    </xf>
    <xf numFmtId="166" fontId="42" fillId="0" borderId="0" xfId="0" applyNumberFormat="1" applyFont="1" applyBorder="1" applyAlignment="1">
      <alignment horizontal="left" vertical="top" wrapText="1"/>
    </xf>
    <xf numFmtId="9" fontId="44" fillId="0" borderId="0" xfId="0" applyNumberFormat="1" applyFont="1"/>
    <xf numFmtId="165" fontId="42" fillId="0" borderId="0" xfId="0" applyNumberFormat="1" applyFont="1"/>
    <xf numFmtId="0" fontId="42" fillId="33" borderId="6" xfId="0" applyFont="1" applyFill="1" applyBorder="1" applyAlignment="1">
      <alignment wrapText="1"/>
    </xf>
    <xf numFmtId="0" fontId="42" fillId="33" borderId="7" xfId="0" applyFont="1" applyFill="1" applyBorder="1" applyAlignment="1">
      <alignment wrapText="1"/>
    </xf>
    <xf numFmtId="165" fontId="42" fillId="33" borderId="0" xfId="0" applyNumberFormat="1" applyFont="1" applyFill="1" applyBorder="1" applyAlignment="1">
      <alignment horizontal="center" vertical="center"/>
    </xf>
    <xf numFmtId="165" fontId="42" fillId="33" borderId="7" xfId="0" applyNumberFormat="1" applyFont="1" applyFill="1" applyBorder="1" applyAlignment="1">
      <alignment horizontal="center" vertical="center"/>
    </xf>
    <xf numFmtId="165" fontId="42" fillId="0" borderId="0" xfId="0" applyNumberFormat="1" applyFont="1" applyAlignment="1">
      <alignment horizontal="left"/>
    </xf>
    <xf numFmtId="165" fontId="42" fillId="0" borderId="1" xfId="0" applyNumberFormat="1" applyFont="1" applyBorder="1" applyAlignment="1">
      <alignment horizontal="left"/>
    </xf>
    <xf numFmtId="0" fontId="42" fillId="34" borderId="0" xfId="0" applyFont="1" applyFill="1" applyBorder="1" applyAlignment="1">
      <alignment horizontal="left" vertical="top" wrapText="1"/>
    </xf>
    <xf numFmtId="0" fontId="42" fillId="34" borderId="0" xfId="0" applyFont="1" applyFill="1" applyBorder="1"/>
    <xf numFmtId="0" fontId="42" fillId="0" borderId="5" xfId="0" applyFont="1" applyBorder="1" applyAlignment="1">
      <alignment vertical="top" wrapText="1"/>
    </xf>
    <xf numFmtId="0" fontId="42" fillId="34" borderId="4" xfId="0" applyFont="1" applyFill="1" applyBorder="1" applyAlignment="1">
      <alignment horizontal="left" vertical="top" wrapText="1"/>
    </xf>
    <xf numFmtId="0" fontId="42" fillId="34" borderId="5" xfId="0" applyFont="1" applyFill="1" applyBorder="1" applyAlignment="1">
      <alignment horizontal="left" vertical="top" wrapText="1"/>
    </xf>
    <xf numFmtId="166" fontId="43" fillId="34" borderId="0" xfId="0" applyNumberFormat="1" applyFont="1" applyFill="1" applyBorder="1" applyAlignment="1">
      <alignment horizontal="left" wrapText="1"/>
    </xf>
    <xf numFmtId="0" fontId="42" fillId="34" borderId="0" xfId="0" applyFont="1" applyFill="1" applyAlignment="1">
      <alignment horizontal="left" vertical="top" wrapText="1"/>
    </xf>
    <xf numFmtId="166" fontId="43" fillId="34" borderId="0" xfId="0" applyNumberFormat="1" applyFont="1" applyFill="1" applyAlignment="1">
      <alignment horizontal="left" wrapText="1"/>
    </xf>
    <xf numFmtId="166" fontId="43" fillId="34" borderId="1" xfId="0" applyNumberFormat="1" applyFont="1" applyFill="1" applyBorder="1" applyAlignment="1">
      <alignment horizontal="left" wrapText="1"/>
    </xf>
    <xf numFmtId="0" fontId="42" fillId="34" borderId="1" xfId="0" applyFont="1" applyFill="1" applyBorder="1" applyAlignment="1">
      <alignment horizontal="left" vertical="top" wrapText="1"/>
    </xf>
    <xf numFmtId="0" fontId="42" fillId="34" borderId="5" xfId="0" applyFont="1" applyFill="1" applyBorder="1" applyAlignment="1">
      <alignment vertical="top" wrapText="1"/>
    </xf>
    <xf numFmtId="166" fontId="42" fillId="34" borderId="0" xfId="0" applyNumberFormat="1" applyFont="1" applyFill="1" applyAlignment="1">
      <alignment horizontal="left" vertical="top" wrapText="1"/>
    </xf>
    <xf numFmtId="166" fontId="42" fillId="34" borderId="1" xfId="0" applyNumberFormat="1" applyFont="1" applyFill="1" applyBorder="1" applyAlignment="1">
      <alignment horizontal="left" vertical="top" wrapText="1"/>
    </xf>
    <xf numFmtId="167" fontId="42" fillId="34" borderId="0" xfId="0" applyNumberFormat="1" applyFont="1" applyFill="1" applyAlignment="1">
      <alignment horizontal="left" vertical="top" wrapText="1"/>
    </xf>
    <xf numFmtId="167" fontId="42" fillId="34" borderId="1" xfId="0" applyNumberFormat="1" applyFont="1" applyFill="1" applyBorder="1" applyAlignment="1">
      <alignment horizontal="left" vertical="top" wrapText="1"/>
    </xf>
    <xf numFmtId="0" fontId="0" fillId="35" borderId="8" xfId="0" applyFill="1" applyBorder="1" applyAlignment="1">
      <alignment wrapText="1"/>
    </xf>
    <xf numFmtId="9" fontId="0" fillId="35" borderId="9" xfId="0" applyNumberFormat="1" applyFill="1" applyBorder="1" applyAlignment="1">
      <alignment wrapText="1"/>
    </xf>
    <xf numFmtId="0" fontId="40" fillId="0" borderId="10" xfId="0" applyFont="1" applyBorder="1" applyAlignment="1">
      <alignment wrapText="1"/>
    </xf>
    <xf numFmtId="0" fontId="40" fillId="0" borderId="5" xfId="0" applyFont="1" applyBorder="1" applyAlignment="1">
      <alignment horizontal="center" wrapText="1"/>
    </xf>
    <xf numFmtId="0" fontId="40" fillId="0" borderId="11" xfId="0" applyFont="1" applyBorder="1" applyAlignment="1">
      <alignment horizontal="center" wrapText="1"/>
    </xf>
    <xf numFmtId="0" fontId="0" fillId="0" borderId="10" xfId="0" applyBorder="1" applyAlignment="1">
      <alignment wrapText="1"/>
    </xf>
    <xf numFmtId="0" fontId="0" fillId="0" borderId="5" xfId="0" applyBorder="1" applyAlignment="1">
      <alignment horizontal="center" wrapText="1"/>
    </xf>
    <xf numFmtId="0" fontId="0" fillId="0" borderId="11" xfId="0"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xf numFmtId="0" fontId="0" fillId="0" borderId="7" xfId="0" applyBorder="1" applyAlignment="1">
      <alignment horizontal="center"/>
    </xf>
    <xf numFmtId="0" fontId="0" fillId="0" borderId="7" xfId="0" applyFill="1" applyBorder="1" applyAlignment="1">
      <alignment horizontal="center"/>
    </xf>
    <xf numFmtId="0" fontId="0" fillId="0" borderId="16" xfId="0" applyBorder="1" applyAlignment="1">
      <alignment horizontal="center"/>
    </xf>
    <xf numFmtId="0" fontId="0" fillId="0" borderId="12" xfId="0" applyBorder="1"/>
    <xf numFmtId="165" fontId="0" fillId="0" borderId="15" xfId="0" applyNumberFormat="1" applyBorder="1"/>
    <xf numFmtId="165" fontId="0" fillId="0" borderId="16" xfId="0" applyNumberFormat="1" applyBorder="1"/>
    <xf numFmtId="0" fontId="42" fillId="34" borderId="3" xfId="0" applyFont="1" applyFill="1" applyBorder="1" applyAlignment="1">
      <alignment horizontal="left" vertical="top" wrapText="1"/>
    </xf>
    <xf numFmtId="0" fontId="42" fillId="34" borderId="0" xfId="0" applyFont="1" applyFill="1"/>
    <xf numFmtId="0" fontId="42" fillId="34" borderId="0" xfId="0" applyFont="1" applyFill="1" applyAlignment="1">
      <alignment wrapText="1"/>
    </xf>
    <xf numFmtId="0" fontId="42" fillId="34" borderId="17" xfId="0" applyFont="1" applyFill="1" applyBorder="1"/>
    <xf numFmtId="0" fontId="42" fillId="34" borderId="18" xfId="0" applyFont="1" applyFill="1" applyBorder="1" applyAlignment="1">
      <alignment wrapText="1"/>
    </xf>
    <xf numFmtId="0" fontId="42" fillId="34" borderId="19" xfId="0" applyFont="1" applyFill="1" applyBorder="1"/>
    <xf numFmtId="0" fontId="42" fillId="34" borderId="20" xfId="0" applyFont="1" applyFill="1" applyBorder="1"/>
    <xf numFmtId="0" fontId="42" fillId="34" borderId="21" xfId="0" applyFont="1" applyFill="1" applyBorder="1"/>
    <xf numFmtId="0" fontId="42" fillId="34" borderId="20" xfId="0" applyFont="1" applyFill="1" applyBorder="1" applyAlignment="1">
      <alignment horizontal="left" vertical="top" wrapText="1"/>
    </xf>
    <xf numFmtId="0" fontId="42" fillId="34" borderId="22" xfId="0" applyFont="1" applyFill="1" applyBorder="1" applyAlignment="1">
      <alignment horizontal="left" vertical="top" wrapText="1"/>
    </xf>
    <xf numFmtId="0" fontId="42" fillId="34" borderId="1" xfId="0" applyFont="1" applyFill="1" applyBorder="1"/>
    <xf numFmtId="0" fontId="42" fillId="34" borderId="2" xfId="0" applyFont="1" applyFill="1" applyBorder="1" applyAlignment="1">
      <alignment horizontal="left" vertical="top" wrapText="1"/>
    </xf>
    <xf numFmtId="164" fontId="42" fillId="0" borderId="0" xfId="0" applyNumberFormat="1" applyFont="1"/>
    <xf numFmtId="0" fontId="45" fillId="0" borderId="0" xfId="0" applyFont="1"/>
    <xf numFmtId="0" fontId="42" fillId="0" borderId="0" xfId="0" applyFont="1" applyFill="1" applyAlignment="1">
      <alignment horizontal="left" vertical="top" wrapText="1"/>
    </xf>
    <xf numFmtId="165" fontId="42" fillId="0" borderId="0" xfId="0" applyNumberFormat="1" applyFont="1" applyFill="1" applyAlignment="1">
      <alignment horizontal="left" vertical="top" wrapText="1"/>
    </xf>
    <xf numFmtId="164" fontId="42" fillId="0" borderId="0" xfId="0" applyNumberFormat="1" applyFont="1" applyFill="1" applyAlignment="1">
      <alignment horizontal="left" vertical="top" wrapText="1"/>
    </xf>
    <xf numFmtId="0" fontId="42" fillId="0" borderId="2" xfId="0" applyFont="1" applyFill="1" applyBorder="1" applyAlignment="1">
      <alignment horizontal="left" vertical="top" wrapText="1"/>
    </xf>
    <xf numFmtId="165" fontId="42" fillId="0" borderId="2" xfId="0" applyNumberFormat="1" applyFont="1" applyFill="1" applyBorder="1" applyAlignment="1">
      <alignment horizontal="left" vertical="top" wrapText="1"/>
    </xf>
    <xf numFmtId="164" fontId="42" fillId="0" borderId="2" xfId="0" applyNumberFormat="1" applyFont="1" applyFill="1" applyBorder="1" applyAlignment="1">
      <alignment horizontal="left" vertical="top" wrapText="1"/>
    </xf>
    <xf numFmtId="0" fontId="42" fillId="34" borderId="18" xfId="0" applyFont="1" applyFill="1" applyBorder="1"/>
    <xf numFmtId="0" fontId="42" fillId="34" borderId="7" xfId="0" applyFont="1" applyFill="1" applyBorder="1"/>
    <xf numFmtId="0" fontId="42" fillId="34" borderId="7" xfId="0" applyFont="1" applyFill="1" applyBorder="1" applyAlignment="1">
      <alignment wrapText="1"/>
    </xf>
    <xf numFmtId="0" fontId="42" fillId="34" borderId="23" xfId="0" applyFont="1" applyFill="1" applyBorder="1"/>
    <xf numFmtId="0" fontId="42" fillId="34" borderId="20" xfId="0" applyFont="1" applyFill="1" applyBorder="1" applyAlignment="1">
      <alignment horizontal="left" vertical="center" wrapText="1"/>
    </xf>
    <xf numFmtId="9" fontId="42" fillId="34" borderId="0" xfId="40" applyFont="1" applyFill="1" applyBorder="1" applyAlignment="1">
      <alignment horizontal="left" vertical="center"/>
    </xf>
    <xf numFmtId="167" fontId="42" fillId="34" borderId="21" xfId="40" applyNumberFormat="1" applyFont="1" applyFill="1" applyBorder="1" applyAlignment="1">
      <alignment horizontal="left" vertical="center"/>
    </xf>
    <xf numFmtId="0" fontId="42" fillId="34" borderId="22" xfId="0" applyFont="1" applyFill="1" applyBorder="1" applyAlignment="1">
      <alignment horizontal="left" vertical="center"/>
    </xf>
    <xf numFmtId="9" fontId="45" fillId="34" borderId="1" xfId="0" applyNumberFormat="1" applyFont="1" applyFill="1" applyBorder="1" applyAlignment="1">
      <alignment horizontal="left" vertical="center"/>
    </xf>
    <xf numFmtId="167" fontId="45" fillId="34" borderId="24" xfId="0" applyNumberFormat="1" applyFont="1" applyFill="1" applyBorder="1" applyAlignment="1">
      <alignment horizontal="left" vertical="center"/>
    </xf>
    <xf numFmtId="0" fontId="46" fillId="34" borderId="17" xfId="0" applyFont="1" applyFill="1" applyBorder="1"/>
    <xf numFmtId="0" fontId="42" fillId="34" borderId="19" xfId="0" applyFont="1" applyFill="1" applyBorder="1" applyAlignment="1">
      <alignment wrapText="1"/>
    </xf>
    <xf numFmtId="0" fontId="42" fillId="34" borderId="21" xfId="0" applyFont="1" applyFill="1" applyBorder="1" applyAlignment="1">
      <alignment horizontal="center" wrapText="1"/>
    </xf>
    <xf numFmtId="2" fontId="43" fillId="0" borderId="2" xfId="0" applyNumberFormat="1" applyFont="1" applyBorder="1" applyAlignment="1">
      <alignment horizontal="left" wrapText="1"/>
    </xf>
    <xf numFmtId="0" fontId="7" fillId="34" borderId="5" xfId="0" applyFont="1" applyFill="1" applyBorder="1" applyAlignment="1">
      <alignment horizontal="left" vertical="top" wrapText="1"/>
    </xf>
    <xf numFmtId="2" fontId="7" fillId="34" borderId="0" xfId="0" applyNumberFormat="1" applyFont="1" applyFill="1" applyAlignment="1">
      <alignment horizontal="left" vertical="top" wrapText="1"/>
    </xf>
    <xf numFmtId="2" fontId="7" fillId="34" borderId="1" xfId="0" applyNumberFormat="1" applyFont="1" applyFill="1" applyBorder="1" applyAlignment="1">
      <alignment horizontal="left" vertical="top" wrapText="1"/>
    </xf>
    <xf numFmtId="0" fontId="7" fillId="34" borderId="1" xfId="0" applyFont="1" applyFill="1" applyBorder="1" applyAlignment="1">
      <alignment horizontal="left" vertical="top" wrapText="1"/>
    </xf>
    <xf numFmtId="0" fontId="34" fillId="0" borderId="0" xfId="34" applyAlignment="1" applyProtection="1"/>
    <xf numFmtId="0" fontId="42" fillId="0" borderId="0" xfId="0" applyFont="1" applyFill="1" applyBorder="1" applyAlignment="1">
      <alignment horizontal="right" wrapText="1"/>
    </xf>
    <xf numFmtId="0" fontId="42" fillId="0" borderId="0" xfId="0" applyFont="1" applyFill="1"/>
    <xf numFmtId="0" fontId="47" fillId="0" borderId="0" xfId="0" applyFont="1" applyFill="1"/>
    <xf numFmtId="166" fontId="45" fillId="0" borderId="0" xfId="0" applyNumberFormat="1" applyFont="1"/>
    <xf numFmtId="169" fontId="42" fillId="0" borderId="0" xfId="0" applyNumberFormat="1" applyFont="1"/>
    <xf numFmtId="0" fontId="42" fillId="34" borderId="17" xfId="0" applyFont="1" applyFill="1" applyBorder="1" applyAlignment="1">
      <alignment wrapText="1"/>
    </xf>
    <xf numFmtId="167" fontId="42" fillId="34" borderId="20" xfId="40" applyNumberFormat="1" applyFont="1" applyFill="1" applyBorder="1"/>
    <xf numFmtId="9" fontId="42" fillId="34" borderId="21" xfId="40" applyFont="1" applyFill="1" applyBorder="1"/>
    <xf numFmtId="167" fontId="42" fillId="34" borderId="22" xfId="40" applyNumberFormat="1" applyFont="1" applyFill="1" applyBorder="1"/>
    <xf numFmtId="9" fontId="42" fillId="34" borderId="24" xfId="40" applyFont="1" applyFill="1" applyBorder="1"/>
    <xf numFmtId="9" fontId="42" fillId="34" borderId="0" xfId="0" applyNumberFormat="1" applyFont="1" applyFill="1" applyBorder="1"/>
    <xf numFmtId="0" fontId="42" fillId="34" borderId="25" xfId="0" applyFont="1" applyFill="1" applyBorder="1" applyAlignment="1">
      <alignment wrapText="1"/>
    </xf>
    <xf numFmtId="0" fontId="42" fillId="34" borderId="26" xfId="0" applyFont="1" applyFill="1" applyBorder="1" applyAlignment="1">
      <alignment horizontal="left" vertical="top" wrapText="1"/>
    </xf>
    <xf numFmtId="166" fontId="42" fillId="34" borderId="27" xfId="0" applyNumberFormat="1" applyFont="1" applyFill="1" applyBorder="1"/>
    <xf numFmtId="166" fontId="42" fillId="34" borderId="28" xfId="0" applyNumberFormat="1" applyFont="1" applyFill="1" applyBorder="1"/>
    <xf numFmtId="0" fontId="42" fillId="36" borderId="29" xfId="0" applyFont="1" applyFill="1" applyBorder="1"/>
    <xf numFmtId="0" fontId="42" fillId="36" borderId="30" xfId="0" applyFont="1" applyFill="1" applyBorder="1"/>
    <xf numFmtId="0" fontId="42" fillId="36" borderId="9" xfId="0" applyFont="1" applyFill="1" applyBorder="1"/>
    <xf numFmtId="0" fontId="42" fillId="0" borderId="0" xfId="0" applyFont="1" applyFill="1" applyBorder="1"/>
    <xf numFmtId="0" fontId="42" fillId="0" borderId="18" xfId="0" applyFont="1" applyFill="1" applyBorder="1"/>
    <xf numFmtId="0" fontId="42" fillId="37" borderId="20" xfId="0" applyFont="1" applyFill="1" applyBorder="1"/>
    <xf numFmtId="0" fontId="42" fillId="37" borderId="0" xfId="0" applyFont="1" applyFill="1" applyBorder="1" applyAlignment="1">
      <alignment horizontal="left" vertical="top" wrapText="1"/>
    </xf>
    <xf numFmtId="0" fontId="42" fillId="37" borderId="0" xfId="0" quotePrefix="1" applyFont="1" applyFill="1" applyBorder="1"/>
    <xf numFmtId="0" fontId="42" fillId="37" borderId="20" xfId="0" applyFont="1" applyFill="1" applyBorder="1" applyAlignment="1">
      <alignment horizontal="left" vertical="top" wrapText="1"/>
    </xf>
    <xf numFmtId="166" fontId="42" fillId="37" borderId="0" xfId="0" applyNumberFormat="1" applyFont="1" applyFill="1" applyBorder="1"/>
    <xf numFmtId="1" fontId="42" fillId="37" borderId="0" xfId="0" applyNumberFormat="1" applyFont="1" applyFill="1" applyBorder="1"/>
    <xf numFmtId="166" fontId="42" fillId="37" borderId="21" xfId="0" applyNumberFormat="1" applyFont="1" applyFill="1" applyBorder="1"/>
    <xf numFmtId="0" fontId="42" fillId="37" borderId="22" xfId="0" applyFont="1" applyFill="1" applyBorder="1" applyAlignment="1">
      <alignment horizontal="left" vertical="top" wrapText="1"/>
    </xf>
    <xf numFmtId="166" fontId="42" fillId="37" borderId="1" xfId="0" applyNumberFormat="1" applyFont="1" applyFill="1" applyBorder="1"/>
    <xf numFmtId="1" fontId="42" fillId="37" borderId="1" xfId="0" applyNumberFormat="1" applyFont="1" applyFill="1" applyBorder="1"/>
    <xf numFmtId="166" fontId="42" fillId="37" borderId="24" xfId="0" applyNumberFormat="1" applyFont="1" applyFill="1" applyBorder="1"/>
    <xf numFmtId="0" fontId="42" fillId="0" borderId="0" xfId="0" applyFont="1" applyFill="1" applyBorder="1" applyAlignment="1">
      <alignment wrapText="1"/>
    </xf>
    <xf numFmtId="0" fontId="42" fillId="36" borderId="8" xfId="0" applyFont="1" applyFill="1" applyBorder="1"/>
    <xf numFmtId="0" fontId="42" fillId="37" borderId="17" xfId="0" applyFont="1" applyFill="1" applyBorder="1"/>
    <xf numFmtId="0" fontId="42" fillId="37" borderId="21" xfId="0" applyFont="1" applyFill="1" applyBorder="1"/>
    <xf numFmtId="2" fontId="42" fillId="0" borderId="0" xfId="0" applyNumberFormat="1" applyFont="1"/>
    <xf numFmtId="0" fontId="42" fillId="37" borderId="18" xfId="0" applyFont="1" applyFill="1" applyBorder="1" applyAlignment="1">
      <alignment horizontal="left" wrapText="1"/>
    </xf>
    <xf numFmtId="2" fontId="42" fillId="38" borderId="0" xfId="0" applyNumberFormat="1" applyFont="1" applyFill="1" applyBorder="1"/>
    <xf numFmtId="0" fontId="42" fillId="38" borderId="18" xfId="0" applyFont="1" applyFill="1" applyBorder="1" applyAlignment="1">
      <alignment horizontal="center" wrapText="1"/>
    </xf>
    <xf numFmtId="0" fontId="42" fillId="38" borderId="20" xfId="0" applyFont="1" applyFill="1" applyBorder="1" applyAlignment="1">
      <alignment horizontal="left" wrapText="1"/>
    </xf>
    <xf numFmtId="0" fontId="42" fillId="38" borderId="0" xfId="0" applyFont="1" applyFill="1" applyBorder="1" applyAlignment="1">
      <alignment wrapText="1"/>
    </xf>
    <xf numFmtId="0" fontId="42" fillId="38" borderId="21" xfId="0" applyFont="1" applyFill="1" applyBorder="1" applyAlignment="1">
      <alignment wrapText="1"/>
    </xf>
    <xf numFmtId="2" fontId="42" fillId="38" borderId="20" xfId="0" applyNumberFormat="1" applyFont="1" applyFill="1" applyBorder="1"/>
    <xf numFmtId="2" fontId="42" fillId="38" borderId="21" xfId="0" applyNumberFormat="1" applyFont="1" applyFill="1" applyBorder="1"/>
    <xf numFmtId="2" fontId="42" fillId="38" borderId="22" xfId="0" applyNumberFormat="1" applyFont="1" applyFill="1" applyBorder="1"/>
    <xf numFmtId="2" fontId="42" fillId="38" borderId="1" xfId="0" applyNumberFormat="1" applyFont="1" applyFill="1" applyBorder="1"/>
    <xf numFmtId="2" fontId="42" fillId="38" borderId="24" xfId="0" applyNumberFormat="1" applyFont="1" applyFill="1" applyBorder="1"/>
    <xf numFmtId="2" fontId="45" fillId="0" borderId="0" xfId="0" applyNumberFormat="1" applyFont="1"/>
    <xf numFmtId="1" fontId="45" fillId="0" borderId="0" xfId="0" applyNumberFormat="1" applyFont="1"/>
    <xf numFmtId="0" fontId="42" fillId="0" borderId="4" xfId="0" applyFont="1" applyBorder="1" applyAlignment="1">
      <alignment horizontal="left" vertical="top" wrapText="1"/>
    </xf>
    <xf numFmtId="0" fontId="42" fillId="34" borderId="4" xfId="0" applyFont="1" applyFill="1" applyBorder="1" applyAlignment="1">
      <alignment horizontal="left" vertical="top" wrapText="1"/>
    </xf>
    <xf numFmtId="0" fontId="40" fillId="0" borderId="5" xfId="0" applyFont="1" applyBorder="1" applyAlignment="1">
      <alignment horizontal="center" wrapText="1"/>
    </xf>
    <xf numFmtId="1" fontId="42" fillId="38" borderId="0" xfId="0" applyNumberFormat="1" applyFont="1" applyFill="1" applyBorder="1"/>
    <xf numFmtId="1" fontId="42" fillId="38" borderId="1" xfId="0" applyNumberFormat="1" applyFont="1" applyFill="1" applyBorder="1"/>
    <xf numFmtId="1" fontId="42" fillId="0" borderId="0" xfId="0" applyNumberFormat="1" applyFont="1" applyFill="1"/>
    <xf numFmtId="0" fontId="48" fillId="0" borderId="0" xfId="0" applyFont="1"/>
    <xf numFmtId="0" fontId="48" fillId="0" borderId="0" xfId="0" applyFont="1" applyAlignment="1">
      <alignment horizontal="left"/>
    </xf>
    <xf numFmtId="0" fontId="42" fillId="0" borderId="2" xfId="0" applyFont="1" applyBorder="1"/>
    <xf numFmtId="0" fontId="42" fillId="0" borderId="0" xfId="0" applyFont="1" applyFill="1" applyAlignment="1">
      <alignment wrapText="1"/>
    </xf>
    <xf numFmtId="0" fontId="42" fillId="0" borderId="0" xfId="0" applyFont="1" applyFill="1" applyAlignment="1">
      <alignment horizontal="center" wrapText="1"/>
    </xf>
    <xf numFmtId="0" fontId="49" fillId="39" borderId="0" xfId="0" applyFont="1" applyFill="1" applyAlignment="1">
      <alignment wrapText="1"/>
    </xf>
    <xf numFmtId="0" fontId="49" fillId="40" borderId="25" xfId="0" applyFont="1" applyFill="1" applyBorder="1" applyAlignment="1">
      <alignment wrapText="1"/>
    </xf>
    <xf numFmtId="0" fontId="50" fillId="40" borderId="27" xfId="0" applyFont="1" applyFill="1" applyBorder="1" applyAlignment="1">
      <alignment horizontal="center" wrapText="1"/>
    </xf>
    <xf numFmtId="0" fontId="49" fillId="40" borderId="27" xfId="0" applyFont="1" applyFill="1" applyBorder="1" applyAlignment="1">
      <alignment horizontal="center" wrapText="1"/>
    </xf>
    <xf numFmtId="0" fontId="49" fillId="40" borderId="27" xfId="0" applyFont="1" applyFill="1" applyBorder="1" applyAlignment="1">
      <alignment wrapText="1"/>
    </xf>
    <xf numFmtId="0" fontId="49" fillId="40" borderId="28" xfId="0" applyFont="1" applyFill="1" applyBorder="1" applyAlignment="1">
      <alignment wrapText="1"/>
    </xf>
    <xf numFmtId="0" fontId="51" fillId="40" borderId="27" xfId="0" applyFont="1" applyFill="1" applyBorder="1" applyAlignment="1">
      <alignment horizontal="center" wrapText="1"/>
    </xf>
    <xf numFmtId="166" fontId="45" fillId="34" borderId="0" xfId="40" applyNumberFormat="1" applyFont="1" applyFill="1"/>
    <xf numFmtId="167" fontId="45" fillId="34" borderId="0" xfId="0" applyNumberFormat="1" applyFont="1" applyFill="1"/>
    <xf numFmtId="0" fontId="0" fillId="0" borderId="13" xfId="0" applyBorder="1" applyAlignment="1"/>
    <xf numFmtId="0" fontId="0" fillId="0" borderId="15" xfId="0" applyBorder="1" applyAlignment="1"/>
    <xf numFmtId="0" fontId="0" fillId="0" borderId="15" xfId="0" applyBorder="1" applyAlignment="1">
      <alignment horizontal="center"/>
    </xf>
    <xf numFmtId="0" fontId="0" fillId="0" borderId="13" xfId="0" applyBorder="1"/>
    <xf numFmtId="0" fontId="0" fillId="0" borderId="31" xfId="0" applyBorder="1"/>
    <xf numFmtId="166" fontId="0" fillId="0" borderId="0" xfId="0" applyNumberFormat="1" applyBorder="1" applyAlignment="1">
      <alignment horizontal="center"/>
    </xf>
    <xf numFmtId="166" fontId="0" fillId="0" borderId="32" xfId="0" applyNumberFormat="1" applyBorder="1" applyAlignment="1">
      <alignment horizontal="center"/>
    </xf>
    <xf numFmtId="166" fontId="0" fillId="0" borderId="7" xfId="0" applyNumberFormat="1" applyBorder="1" applyAlignment="1">
      <alignment horizontal="center"/>
    </xf>
    <xf numFmtId="166" fontId="0" fillId="0" borderId="16" xfId="0" applyNumberFormat="1" applyBorder="1" applyAlignment="1">
      <alignment horizontal="center"/>
    </xf>
    <xf numFmtId="166" fontId="40" fillId="0" borderId="13" xfId="0" applyNumberFormat="1" applyFont="1" applyBorder="1" applyAlignment="1">
      <alignment horizontal="center"/>
    </xf>
    <xf numFmtId="166" fontId="40" fillId="0" borderId="6" xfId="0" applyNumberFormat="1" applyFont="1" applyBorder="1" applyAlignment="1">
      <alignment horizontal="center"/>
    </xf>
    <xf numFmtId="166" fontId="40" fillId="0" borderId="14" xfId="0" applyNumberFormat="1" applyFont="1" applyBorder="1" applyAlignment="1">
      <alignment horizontal="center"/>
    </xf>
    <xf numFmtId="166" fontId="40" fillId="0" borderId="31" xfId="0" applyNumberFormat="1" applyFont="1" applyBorder="1" applyAlignment="1">
      <alignment horizontal="center"/>
    </xf>
    <xf numFmtId="166" fontId="40" fillId="0" borderId="0" xfId="0" applyNumberFormat="1" applyFont="1" applyBorder="1" applyAlignment="1">
      <alignment horizontal="center"/>
    </xf>
    <xf numFmtId="166" fontId="40" fillId="0" borderId="32" xfId="0" applyNumberFormat="1" applyFont="1" applyBorder="1" applyAlignment="1">
      <alignment horizontal="center"/>
    </xf>
    <xf numFmtId="9" fontId="24" fillId="0" borderId="0" xfId="40" applyFont="1"/>
    <xf numFmtId="2" fontId="42" fillId="34" borderId="0" xfId="0" applyNumberFormat="1" applyFont="1" applyFill="1" applyAlignment="1">
      <alignment horizontal="left" vertical="top" wrapText="1"/>
    </xf>
    <xf numFmtId="2" fontId="42" fillId="34" borderId="2" xfId="0" applyNumberFormat="1" applyFont="1" applyFill="1" applyBorder="1" applyAlignment="1">
      <alignment horizontal="left" vertical="top" wrapText="1"/>
    </xf>
    <xf numFmtId="165" fontId="44" fillId="33" borderId="0" xfId="0" applyNumberFormat="1" applyFont="1" applyFill="1" applyBorder="1" applyAlignment="1">
      <alignment horizontal="center" vertical="center"/>
    </xf>
    <xf numFmtId="0" fontId="42" fillId="0" borderId="0" xfId="0" applyFont="1" applyBorder="1" applyAlignment="1">
      <alignment horizontal="left" vertical="top" wrapText="1"/>
    </xf>
    <xf numFmtId="0" fontId="42" fillId="34" borderId="0" xfId="0" applyFont="1" applyFill="1" applyBorder="1" applyAlignment="1">
      <alignment horizontal="left" vertical="top" wrapText="1"/>
    </xf>
    <xf numFmtId="0" fontId="42" fillId="0" borderId="0" xfId="0" applyFont="1" applyAlignment="1">
      <alignment wrapText="1"/>
    </xf>
    <xf numFmtId="0" fontId="42" fillId="41" borderId="4" xfId="0" applyFont="1" applyFill="1" applyBorder="1" applyAlignment="1">
      <alignment horizontal="left" vertical="top" wrapText="1"/>
    </xf>
    <xf numFmtId="0" fontId="42" fillId="41" borderId="5" xfId="0" applyFont="1" applyFill="1" applyBorder="1" applyAlignment="1">
      <alignment horizontal="left" vertical="top" wrapText="1"/>
    </xf>
    <xf numFmtId="2" fontId="43" fillId="41" borderId="0" xfId="0" applyNumberFormat="1" applyFont="1" applyFill="1" applyAlignment="1">
      <alignment horizontal="left" wrapText="1"/>
    </xf>
    <xf numFmtId="2" fontId="43" fillId="41" borderId="1" xfId="0" applyNumberFormat="1" applyFont="1" applyFill="1" applyBorder="1" applyAlignment="1">
      <alignment horizontal="left" wrapText="1"/>
    </xf>
    <xf numFmtId="2" fontId="0" fillId="0" borderId="0" xfId="0" applyNumberFormat="1"/>
    <xf numFmtId="0" fontId="40" fillId="0" borderId="0" xfId="0" applyFont="1"/>
    <xf numFmtId="0" fontId="52" fillId="0" borderId="0" xfId="0" applyFont="1"/>
    <xf numFmtId="2" fontId="52" fillId="0" borderId="0" xfId="0" applyNumberFormat="1" applyFont="1"/>
    <xf numFmtId="0" fontId="0" fillId="41" borderId="0" xfId="0" applyFill="1"/>
    <xf numFmtId="0" fontId="53" fillId="41" borderId="0" xfId="0" applyFont="1" applyFill="1"/>
    <xf numFmtId="0" fontId="0" fillId="41" borderId="0" xfId="0" applyFill="1" applyAlignment="1">
      <alignment horizontal="left" wrapText="1"/>
    </xf>
    <xf numFmtId="2" fontId="0" fillId="41" borderId="0" xfId="0" applyNumberFormat="1" applyFill="1" applyAlignment="1">
      <alignment horizontal="left"/>
    </xf>
    <xf numFmtId="0" fontId="52" fillId="41" borderId="0" xfId="0" applyFont="1" applyFill="1"/>
    <xf numFmtId="2" fontId="52" fillId="41" borderId="0" xfId="0" applyNumberFormat="1" applyFont="1" applyFill="1"/>
    <xf numFmtId="0" fontId="0" fillId="42" borderId="0" xfId="0" applyFill="1"/>
    <xf numFmtId="0" fontId="53" fillId="42" borderId="0" xfId="0" applyFont="1" applyFill="1"/>
    <xf numFmtId="0" fontId="0" fillId="42" borderId="0" xfId="0" applyFill="1" applyAlignment="1">
      <alignment horizontal="left" wrapText="1"/>
    </xf>
    <xf numFmtId="2" fontId="0" fillId="42" borderId="0" xfId="0" applyNumberFormat="1" applyFill="1" applyAlignment="1">
      <alignment horizontal="left"/>
    </xf>
    <xf numFmtId="0" fontId="52" fillId="42" borderId="0" xfId="0" applyFont="1" applyFill="1"/>
    <xf numFmtId="2" fontId="52" fillId="42" borderId="0" xfId="0" applyNumberFormat="1" applyFont="1" applyFill="1"/>
    <xf numFmtId="2" fontId="0" fillId="41" borderId="13" xfId="0" applyNumberFormat="1" applyFill="1" applyBorder="1" applyAlignment="1">
      <alignment horizontal="left"/>
    </xf>
    <xf numFmtId="2" fontId="0" fillId="41" borderId="6" xfId="0" applyNumberFormat="1" applyFill="1" applyBorder="1" applyAlignment="1">
      <alignment horizontal="left"/>
    </xf>
    <xf numFmtId="2" fontId="0" fillId="41" borderId="14" xfId="0" applyNumberFormat="1" applyFill="1" applyBorder="1" applyAlignment="1">
      <alignment horizontal="left"/>
    </xf>
    <xf numFmtId="2" fontId="0" fillId="41" borderId="31" xfId="0" applyNumberFormat="1" applyFill="1" applyBorder="1" applyAlignment="1">
      <alignment horizontal="left"/>
    </xf>
    <xf numFmtId="2" fontId="0" fillId="41" borderId="0" xfId="0" applyNumberFormat="1" applyFill="1" applyBorder="1" applyAlignment="1">
      <alignment horizontal="left"/>
    </xf>
    <xf numFmtId="2" fontId="0" fillId="41" borderId="32" xfId="0" applyNumberFormat="1" applyFill="1" applyBorder="1" applyAlignment="1">
      <alignment horizontal="left"/>
    </xf>
    <xf numFmtId="2" fontId="0" fillId="41" borderId="15" xfId="0" applyNumberFormat="1" applyFill="1" applyBorder="1" applyAlignment="1">
      <alignment horizontal="left"/>
    </xf>
    <xf numFmtId="2" fontId="0" fillId="41" borderId="7" xfId="0" applyNumberFormat="1" applyFill="1" applyBorder="1" applyAlignment="1">
      <alignment horizontal="left"/>
    </xf>
    <xf numFmtId="2" fontId="0" fillId="41" borderId="16" xfId="0" applyNumberFormat="1" applyFill="1" applyBorder="1" applyAlignment="1">
      <alignment horizontal="left"/>
    </xf>
    <xf numFmtId="2" fontId="0" fillId="42" borderId="13" xfId="0" applyNumberFormat="1" applyFill="1" applyBorder="1" applyAlignment="1">
      <alignment horizontal="left"/>
    </xf>
    <xf numFmtId="2" fontId="0" fillId="42" borderId="6" xfId="0" applyNumberFormat="1" applyFill="1" applyBorder="1" applyAlignment="1">
      <alignment horizontal="left"/>
    </xf>
    <xf numFmtId="2" fontId="0" fillId="42" borderId="14" xfId="0" applyNumberFormat="1" applyFill="1" applyBorder="1" applyAlignment="1">
      <alignment horizontal="left"/>
    </xf>
    <xf numFmtId="2" fontId="0" fillId="42" borderId="31" xfId="0" applyNumberFormat="1" applyFill="1" applyBorder="1" applyAlignment="1">
      <alignment horizontal="left"/>
    </xf>
    <xf numFmtId="2" fontId="0" fillId="42" borderId="0" xfId="0" applyNumberFormat="1" applyFill="1" applyBorder="1" applyAlignment="1">
      <alignment horizontal="left"/>
    </xf>
    <xf numFmtId="2" fontId="0" fillId="42" borderId="32" xfId="0" applyNumberFormat="1" applyFill="1" applyBorder="1" applyAlignment="1">
      <alignment horizontal="left"/>
    </xf>
    <xf numFmtId="2" fontId="0" fillId="42" borderId="15" xfId="0" applyNumberFormat="1" applyFill="1" applyBorder="1" applyAlignment="1">
      <alignment horizontal="left"/>
    </xf>
    <xf numFmtId="2" fontId="0" fillId="42" borderId="7" xfId="0" applyNumberFormat="1" applyFill="1" applyBorder="1" applyAlignment="1">
      <alignment horizontal="left"/>
    </xf>
    <xf numFmtId="2" fontId="0" fillId="42" borderId="16" xfId="0" applyNumberFormat="1" applyFill="1" applyBorder="1" applyAlignment="1">
      <alignment horizontal="left"/>
    </xf>
    <xf numFmtId="9" fontId="52" fillId="0" borderId="0" xfId="40" applyFont="1" applyFill="1"/>
    <xf numFmtId="9" fontId="42" fillId="34" borderId="21" xfId="0" applyNumberFormat="1" applyFont="1" applyFill="1" applyBorder="1"/>
    <xf numFmtId="165" fontId="43" fillId="0" borderId="2" xfId="0" applyNumberFormat="1" applyFont="1" applyBorder="1" applyAlignment="1">
      <alignment horizontal="left" vertical="top" wrapText="1"/>
    </xf>
    <xf numFmtId="0" fontId="54" fillId="34" borderId="18" xfId="0" applyFont="1" applyFill="1" applyBorder="1" applyAlignment="1">
      <alignment wrapText="1"/>
    </xf>
    <xf numFmtId="0" fontId="54" fillId="34" borderId="19" xfId="0" applyFont="1" applyFill="1" applyBorder="1" applyAlignment="1">
      <alignment wrapText="1"/>
    </xf>
    <xf numFmtId="0" fontId="54" fillId="34" borderId="17" xfId="0" applyFont="1" applyFill="1" applyBorder="1" applyAlignment="1"/>
    <xf numFmtId="2" fontId="42" fillId="41" borderId="20" xfId="0" applyNumberFormat="1" applyFont="1" applyFill="1" applyBorder="1"/>
    <xf numFmtId="2" fontId="42" fillId="41" borderId="0" xfId="0" applyNumberFormat="1" applyFont="1" applyFill="1" applyBorder="1"/>
    <xf numFmtId="2" fontId="44" fillId="41" borderId="0" xfId="0" applyNumberFormat="1" applyFont="1" applyFill="1" applyBorder="1"/>
    <xf numFmtId="2" fontId="44" fillId="41" borderId="21" xfId="0" applyNumberFormat="1" applyFont="1" applyFill="1" applyBorder="1"/>
    <xf numFmtId="2" fontId="42" fillId="41" borderId="22" xfId="0" applyNumberFormat="1" applyFont="1" applyFill="1" applyBorder="1"/>
    <xf numFmtId="2" fontId="44" fillId="41" borderId="1" xfId="0" applyNumberFormat="1" applyFont="1" applyFill="1" applyBorder="1"/>
    <xf numFmtId="2" fontId="44" fillId="41" borderId="24" xfId="0" applyNumberFormat="1" applyFont="1" applyFill="1" applyBorder="1"/>
    <xf numFmtId="9" fontId="42" fillId="0" borderId="20" xfId="0" applyNumberFormat="1" applyFont="1" applyBorder="1"/>
    <xf numFmtId="0" fontId="54" fillId="35" borderId="17" xfId="0" applyFont="1" applyFill="1" applyBorder="1"/>
    <xf numFmtId="0" fontId="54" fillId="35" borderId="18" xfId="0" applyFont="1" applyFill="1" applyBorder="1"/>
    <xf numFmtId="0" fontId="42" fillId="35" borderId="18" xfId="0" applyFont="1" applyFill="1" applyBorder="1"/>
    <xf numFmtId="0" fontId="42" fillId="35" borderId="19" xfId="0" applyFont="1" applyFill="1" applyBorder="1"/>
    <xf numFmtId="0" fontId="42" fillId="35" borderId="0" xfId="0" applyFont="1" applyFill="1"/>
    <xf numFmtId="0" fontId="47" fillId="35" borderId="20" xfId="0" applyFont="1" applyFill="1" applyBorder="1"/>
    <xf numFmtId="0" fontId="42" fillId="35" borderId="0" xfId="0" applyFont="1" applyFill="1" applyBorder="1"/>
    <xf numFmtId="0" fontId="42" fillId="35" borderId="21" xfId="0" applyFont="1" applyFill="1" applyBorder="1"/>
    <xf numFmtId="0" fontId="42" fillId="35" borderId="20" xfId="0" applyFont="1" applyFill="1" applyBorder="1"/>
    <xf numFmtId="0" fontId="42" fillId="35" borderId="22" xfId="0" applyFont="1" applyFill="1" applyBorder="1"/>
    <xf numFmtId="0" fontId="42" fillId="35" borderId="1" xfId="0" applyFont="1" applyFill="1" applyBorder="1"/>
    <xf numFmtId="0" fontId="42" fillId="35" borderId="24" xfId="0" applyFont="1" applyFill="1" applyBorder="1"/>
    <xf numFmtId="0" fontId="42" fillId="0" borderId="0" xfId="0" applyFont="1" applyFill="1" applyBorder="1" applyAlignment="1">
      <alignment horizontal="center" wrapText="1"/>
    </xf>
    <xf numFmtId="168" fontId="42" fillId="0" borderId="0" xfId="0" applyNumberFormat="1" applyFont="1" applyFill="1" applyBorder="1"/>
    <xf numFmtId="0" fontId="54" fillId="35" borderId="0" xfId="0" applyFont="1" applyFill="1"/>
    <xf numFmtId="1" fontId="42" fillId="35" borderId="0" xfId="0" applyNumberFormat="1" applyFont="1" applyFill="1"/>
    <xf numFmtId="9" fontId="42" fillId="35" borderId="0" xfId="0" applyNumberFormat="1" applyFont="1" applyFill="1"/>
    <xf numFmtId="2" fontId="42" fillId="35" borderId="0" xfId="0" applyNumberFormat="1" applyFont="1" applyFill="1"/>
    <xf numFmtId="169" fontId="42" fillId="35" borderId="0" xfId="0" applyNumberFormat="1" applyFont="1" applyFill="1"/>
    <xf numFmtId="165" fontId="42" fillId="34" borderId="21" xfId="0" applyNumberFormat="1" applyFont="1" applyFill="1" applyBorder="1"/>
    <xf numFmtId="165" fontId="42" fillId="34" borderId="24" xfId="0" applyNumberFormat="1" applyFont="1" applyFill="1" applyBorder="1"/>
    <xf numFmtId="165" fontId="42" fillId="34" borderId="0" xfId="0" applyNumberFormat="1" applyFont="1" applyFill="1" applyBorder="1"/>
    <xf numFmtId="165" fontId="42" fillId="34" borderId="1" xfId="0" applyNumberFormat="1" applyFont="1" applyFill="1" applyBorder="1"/>
    <xf numFmtId="0" fontId="49" fillId="39" borderId="0" xfId="0" applyFont="1" applyFill="1"/>
    <xf numFmtId="0" fontId="0" fillId="43" borderId="0" xfId="0" applyFill="1"/>
    <xf numFmtId="0" fontId="52" fillId="43" borderId="0" xfId="0" applyFont="1" applyFill="1" applyAlignment="1">
      <alignment horizontal="center"/>
    </xf>
    <xf numFmtId="0" fontId="0" fillId="38" borderId="0" xfId="0" applyFill="1"/>
    <xf numFmtId="10" fontId="24" fillId="38" borderId="0" xfId="40" applyNumberFormat="1" applyFont="1" applyFill="1"/>
    <xf numFmtId="0" fontId="52" fillId="38" borderId="0" xfId="0" applyFont="1" applyFill="1" applyAlignment="1">
      <alignment horizontal="center"/>
    </xf>
    <xf numFmtId="167" fontId="52" fillId="38" borderId="0" xfId="40" applyNumberFormat="1" applyFont="1" applyFill="1" applyAlignment="1">
      <alignment horizontal="center"/>
    </xf>
    <xf numFmtId="0" fontId="55" fillId="43" borderId="0" xfId="0" applyFont="1" applyFill="1"/>
    <xf numFmtId="164" fontId="0" fillId="43" borderId="0" xfId="0" applyNumberFormat="1" applyFill="1"/>
    <xf numFmtId="165" fontId="0" fillId="43" borderId="0" xfId="0" applyNumberFormat="1" applyFill="1"/>
    <xf numFmtId="164" fontId="52" fillId="43" borderId="0" xfId="0" applyNumberFormat="1" applyFont="1" applyFill="1" applyAlignment="1">
      <alignment horizontal="center"/>
    </xf>
    <xf numFmtId="0" fontId="55" fillId="38" borderId="0" xfId="0" applyFont="1" applyFill="1"/>
    <xf numFmtId="167" fontId="0" fillId="0" borderId="0" xfId="0" applyNumberFormat="1"/>
    <xf numFmtId="0" fontId="0" fillId="0" borderId="0" xfId="0" applyAlignment="1">
      <alignment wrapText="1"/>
    </xf>
    <xf numFmtId="0" fontId="0" fillId="0" borderId="0" xfId="0" applyFill="1" applyAlignment="1">
      <alignment wrapText="1"/>
    </xf>
    <xf numFmtId="0" fontId="42" fillId="0" borderId="8" xfId="0" applyFont="1" applyBorder="1"/>
    <xf numFmtId="0" fontId="42" fillId="0" borderId="30" xfId="0" applyFont="1" applyBorder="1"/>
    <xf numFmtId="9" fontId="42" fillId="41" borderId="9" xfId="0" applyNumberFormat="1" applyFont="1" applyFill="1" applyBorder="1"/>
    <xf numFmtId="9" fontId="24" fillId="0" borderId="0" xfId="40" applyFont="1" applyAlignment="1">
      <alignment wrapText="1"/>
    </xf>
    <xf numFmtId="165" fontId="42" fillId="34" borderId="0" xfId="0" applyNumberFormat="1" applyFont="1" applyFill="1" applyAlignment="1">
      <alignment horizontal="left" vertical="top" wrapText="1"/>
    </xf>
    <xf numFmtId="165" fontId="42" fillId="34" borderId="2" xfId="0" applyNumberFormat="1" applyFont="1" applyFill="1" applyBorder="1" applyAlignment="1">
      <alignment horizontal="left" vertical="top" wrapText="1"/>
    </xf>
    <xf numFmtId="0" fontId="42" fillId="38" borderId="0" xfId="0" applyFont="1" applyFill="1"/>
    <xf numFmtId="164" fontId="42" fillId="38" borderId="0" xfId="0" applyNumberFormat="1" applyFont="1" applyFill="1"/>
    <xf numFmtId="0" fontId="11" fillId="0" borderId="0" xfId="0" applyFont="1"/>
    <xf numFmtId="167" fontId="24" fillId="0" borderId="13" xfId="40" applyNumberFormat="1" applyFont="1" applyBorder="1"/>
    <xf numFmtId="167" fontId="24" fillId="0" borderId="6" xfId="40" applyNumberFormat="1" applyFont="1" applyBorder="1"/>
    <xf numFmtId="9" fontId="0" fillId="0" borderId="14" xfId="0" applyNumberFormat="1" applyBorder="1"/>
    <xf numFmtId="167" fontId="24" fillId="0" borderId="31" xfId="40" applyNumberFormat="1" applyFont="1" applyBorder="1"/>
    <xf numFmtId="167" fontId="24" fillId="0" borderId="0" xfId="40" applyNumberFormat="1" applyFont="1" applyBorder="1"/>
    <xf numFmtId="9" fontId="0" fillId="0" borderId="32" xfId="0" applyNumberFormat="1" applyBorder="1"/>
    <xf numFmtId="9" fontId="24" fillId="0" borderId="31" xfId="40" applyFont="1" applyBorder="1"/>
    <xf numFmtId="9" fontId="24" fillId="0" borderId="0" xfId="40" applyFont="1" applyBorder="1"/>
    <xf numFmtId="166" fontId="0" fillId="0" borderId="32" xfId="0" applyNumberFormat="1" applyBorder="1"/>
    <xf numFmtId="9" fontId="24" fillId="0" borderId="15" xfId="40" applyFont="1" applyBorder="1"/>
    <xf numFmtId="9" fontId="24" fillId="0" borderId="7" xfId="40" applyFont="1" applyBorder="1"/>
    <xf numFmtId="166" fontId="0" fillId="0" borderId="16" xfId="0" applyNumberFormat="1" applyBorder="1"/>
    <xf numFmtId="166" fontId="56" fillId="0" borderId="31" xfId="0" applyNumberFormat="1" applyFont="1" applyBorder="1" applyAlignment="1">
      <alignment horizontal="center"/>
    </xf>
    <xf numFmtId="166" fontId="56" fillId="0" borderId="0" xfId="0" applyNumberFormat="1" applyFont="1" applyBorder="1" applyAlignment="1">
      <alignment horizontal="center"/>
    </xf>
    <xf numFmtId="166" fontId="56" fillId="0" borderId="15" xfId="0" applyNumberFormat="1" applyFont="1" applyBorder="1" applyAlignment="1">
      <alignment horizontal="center"/>
    </xf>
    <xf numFmtId="166" fontId="56" fillId="0" borderId="7" xfId="0" applyNumberFormat="1" applyFont="1" applyBorder="1" applyAlignment="1">
      <alignment horizontal="center"/>
    </xf>
    <xf numFmtId="0" fontId="55" fillId="0" borderId="0" xfId="0" applyFont="1"/>
    <xf numFmtId="166" fontId="42" fillId="34" borderId="0" xfId="0" applyNumberFormat="1" applyFont="1" applyFill="1"/>
    <xf numFmtId="166" fontId="42" fillId="34" borderId="20" xfId="0" applyNumberFormat="1" applyFont="1" applyFill="1" applyBorder="1" applyAlignment="1">
      <alignment horizontal="center"/>
    </xf>
    <xf numFmtId="166" fontId="42" fillId="34" borderId="22" xfId="0" applyNumberFormat="1" applyFont="1" applyFill="1" applyBorder="1" applyAlignment="1">
      <alignment horizontal="center"/>
    </xf>
    <xf numFmtId="2" fontId="45" fillId="34" borderId="0" xfId="0" applyNumberFormat="1" applyFont="1" applyFill="1"/>
    <xf numFmtId="166" fontId="45" fillId="34" borderId="0" xfId="0" applyNumberFormat="1" applyFont="1" applyFill="1"/>
    <xf numFmtId="0" fontId="45" fillId="34" borderId="0" xfId="0" applyFont="1" applyFill="1"/>
    <xf numFmtId="0" fontId="54" fillId="0" borderId="0" xfId="0" applyFont="1" applyFill="1"/>
    <xf numFmtId="2" fontId="42" fillId="0" borderId="0" xfId="0" applyNumberFormat="1" applyFont="1" applyFill="1"/>
    <xf numFmtId="166" fontId="42" fillId="34" borderId="0" xfId="0" applyNumberFormat="1" applyFont="1" applyFill="1" applyBorder="1" applyAlignment="1">
      <alignment horizontal="center"/>
    </xf>
    <xf numFmtId="166" fontId="42" fillId="34" borderId="1" xfId="0" applyNumberFormat="1" applyFont="1" applyFill="1" applyBorder="1" applyAlignment="1">
      <alignment horizontal="center"/>
    </xf>
    <xf numFmtId="169" fontId="42" fillId="34" borderId="0" xfId="0" applyNumberFormat="1" applyFont="1" applyFill="1" applyBorder="1"/>
    <xf numFmtId="169" fontId="45" fillId="34" borderId="0" xfId="0" applyNumberFormat="1" applyFont="1" applyFill="1"/>
    <xf numFmtId="0" fontId="0" fillId="43" borderId="0" xfId="0" applyFill="1" applyAlignment="1">
      <alignment wrapText="1"/>
    </xf>
    <xf numFmtId="10" fontId="0" fillId="38" borderId="0" xfId="0" applyNumberFormat="1" applyFill="1"/>
    <xf numFmtId="0" fontId="0" fillId="38" borderId="0" xfId="0" applyFill="1" applyAlignment="1">
      <alignment wrapText="1"/>
    </xf>
    <xf numFmtId="166" fontId="42" fillId="0" borderId="0" xfId="0" applyNumberFormat="1" applyFont="1" applyFill="1" applyAlignment="1">
      <alignment horizontal="left" vertical="top" wrapText="1"/>
    </xf>
    <xf numFmtId="0" fontId="0" fillId="39" borderId="0" xfId="0" applyFill="1" applyBorder="1"/>
    <xf numFmtId="0" fontId="42" fillId="0" borderId="0" xfId="0" applyFont="1" applyBorder="1" applyAlignment="1">
      <alignment horizontal="left" vertical="top" wrapText="1"/>
    </xf>
    <xf numFmtId="0" fontId="53" fillId="0" borderId="0" xfId="0" applyFont="1"/>
    <xf numFmtId="0" fontId="0" fillId="0" borderId="0" xfId="0" applyBorder="1"/>
    <xf numFmtId="166" fontId="0" fillId="0" borderId="31" xfId="0" applyNumberFormat="1" applyBorder="1"/>
    <xf numFmtId="166" fontId="0" fillId="0" borderId="0" xfId="0" applyNumberFormat="1" applyBorder="1"/>
    <xf numFmtId="166" fontId="0" fillId="0" borderId="15" xfId="0" applyNumberFormat="1" applyBorder="1"/>
    <xf numFmtId="166" fontId="0" fillId="0" borderId="7" xfId="0" applyNumberFormat="1" applyBorder="1"/>
    <xf numFmtId="0" fontId="0" fillId="0" borderId="31" xfId="0" applyBorder="1" applyAlignment="1">
      <alignment horizontal="center"/>
    </xf>
    <xf numFmtId="0" fontId="0" fillId="0" borderId="0" xfId="0" applyBorder="1" applyAlignment="1">
      <alignment horizontal="center"/>
    </xf>
    <xf numFmtId="2" fontId="0" fillId="0" borderId="31" xfId="0" applyNumberFormat="1" applyBorder="1"/>
    <xf numFmtId="2" fontId="0" fillId="0" borderId="0" xfId="0" applyNumberFormat="1" applyBorder="1"/>
    <xf numFmtId="2" fontId="0" fillId="0" borderId="32" xfId="0" applyNumberFormat="1" applyBorder="1"/>
    <xf numFmtId="2" fontId="0" fillId="0" borderId="15" xfId="0" applyNumberFormat="1" applyBorder="1"/>
    <xf numFmtId="2" fontId="0" fillId="0" borderId="7" xfId="0" applyNumberFormat="1" applyBorder="1"/>
    <xf numFmtId="2" fontId="0" fillId="0" borderId="16" xfId="0" applyNumberFormat="1" applyBorder="1"/>
    <xf numFmtId="0" fontId="0" fillId="0" borderId="32" xfId="0" applyFill="1" applyBorder="1" applyAlignment="1">
      <alignment horizontal="center"/>
    </xf>
    <xf numFmtId="0" fontId="0" fillId="0" borderId="0" xfId="0" applyFill="1" applyBorder="1" applyAlignment="1">
      <alignment horizontal="center" wrapText="1"/>
    </xf>
    <xf numFmtId="165" fontId="42" fillId="0" borderId="0" xfId="0" applyNumberFormat="1" applyFont="1" applyBorder="1" applyAlignment="1">
      <alignment horizontal="left" vertical="top" wrapText="1"/>
    </xf>
    <xf numFmtId="0" fontId="0" fillId="0" borderId="32" xfId="0" applyFill="1" applyBorder="1" applyAlignment="1">
      <alignment horizontal="center" wrapText="1"/>
    </xf>
    <xf numFmtId="165" fontId="52" fillId="0" borderId="0" xfId="0" applyNumberFormat="1" applyFont="1"/>
    <xf numFmtId="169" fontId="52" fillId="0" borderId="0" xfId="0" applyNumberFormat="1" applyFont="1"/>
    <xf numFmtId="169" fontId="0" fillId="0" borderId="32" xfId="0" applyNumberFormat="1" applyFont="1" applyBorder="1"/>
    <xf numFmtId="169" fontId="0" fillId="0" borderId="16" xfId="0" applyNumberFormat="1" applyFont="1" applyBorder="1"/>
    <xf numFmtId="0" fontId="0" fillId="0" borderId="32" xfId="0" applyBorder="1" applyAlignment="1">
      <alignment wrapText="1"/>
    </xf>
    <xf numFmtId="0" fontId="0" fillId="0" borderId="0" xfId="0" applyBorder="1" applyAlignment="1">
      <alignment wrapText="1"/>
    </xf>
    <xf numFmtId="165" fontId="42" fillId="0" borderId="7" xfId="0" applyNumberFormat="1" applyFont="1" applyBorder="1" applyAlignment="1">
      <alignment horizontal="left" vertical="top" wrapText="1"/>
    </xf>
    <xf numFmtId="169" fontId="40" fillId="41" borderId="0" xfId="0" applyNumberFormat="1" applyFont="1" applyFill="1" applyAlignment="1">
      <alignment horizontal="left"/>
    </xf>
    <xf numFmtId="0" fontId="42" fillId="41" borderId="0" xfId="0" applyFont="1" applyFill="1" applyBorder="1" applyAlignment="1">
      <alignment wrapText="1"/>
    </xf>
    <xf numFmtId="2" fontId="42" fillId="41" borderId="1" xfId="0" applyNumberFormat="1" applyFont="1" applyFill="1" applyBorder="1"/>
    <xf numFmtId="2" fontId="45" fillId="41" borderId="0" xfId="0" applyNumberFormat="1" applyFont="1" applyFill="1"/>
    <xf numFmtId="0" fontId="47" fillId="0" borderId="31" xfId="0" applyFont="1" applyFill="1" applyBorder="1" applyAlignment="1">
      <alignment wrapText="1"/>
    </xf>
    <xf numFmtId="0" fontId="42" fillId="0" borderId="32" xfId="0" applyFont="1" applyFill="1" applyBorder="1" applyAlignment="1">
      <alignment horizontal="right" wrapText="1"/>
    </xf>
    <xf numFmtId="0" fontId="47" fillId="0" borderId="15" xfId="0" applyFont="1" applyFill="1" applyBorder="1" applyAlignment="1">
      <alignment wrapText="1"/>
    </xf>
    <xf numFmtId="0" fontId="47" fillId="0" borderId="7" xfId="0" applyFont="1" applyFill="1" applyBorder="1" applyAlignment="1">
      <alignment horizontal="right" wrapText="1"/>
    </xf>
    <xf numFmtId="0" fontId="42" fillId="0" borderId="16" xfId="0" applyFont="1" applyFill="1" applyBorder="1" applyAlignment="1">
      <alignment horizontal="right" wrapText="1"/>
    </xf>
    <xf numFmtId="0" fontId="47" fillId="0" borderId="10" xfId="0" applyFont="1" applyFill="1" applyBorder="1" applyAlignment="1">
      <alignment horizontal="center" vertical="center" wrapText="1"/>
    </xf>
    <xf numFmtId="0" fontId="57" fillId="0" borderId="5" xfId="0" applyFont="1" applyFill="1" applyBorder="1" applyAlignment="1">
      <alignment horizontal="center" wrapText="1"/>
    </xf>
    <xf numFmtId="0" fontId="45" fillId="0" borderId="11" xfId="0" applyFont="1" applyFill="1" applyBorder="1" applyAlignment="1">
      <alignment horizontal="right" vertical="center" wrapText="1"/>
    </xf>
    <xf numFmtId="2" fontId="58" fillId="0" borderId="0" xfId="0" applyNumberFormat="1" applyFont="1"/>
    <xf numFmtId="0" fontId="42" fillId="34" borderId="0" xfId="0" applyFont="1" applyFill="1" applyAlignment="1">
      <alignment horizontal="center" wrapText="1"/>
    </xf>
    <xf numFmtId="0" fontId="49" fillId="44" borderId="0" xfId="0" applyFont="1" applyFill="1" applyAlignment="1">
      <alignment wrapText="1"/>
    </xf>
    <xf numFmtId="0" fontId="58" fillId="39" borderId="0" xfId="0" applyFont="1" applyFill="1" applyAlignment="1">
      <alignment wrapText="1"/>
    </xf>
    <xf numFmtId="0" fontId="0" fillId="0" borderId="32" xfId="0" applyBorder="1"/>
    <xf numFmtId="0" fontId="42" fillId="35" borderId="0" xfId="0" applyFont="1" applyFill="1" applyAlignment="1">
      <alignment wrapText="1"/>
    </xf>
    <xf numFmtId="0" fontId="23" fillId="44" borderId="0" xfId="0" applyFont="1" applyFill="1" applyAlignment="1">
      <alignment wrapText="1"/>
    </xf>
    <xf numFmtId="0" fontId="59" fillId="39" borderId="0" xfId="0" applyFont="1" applyFill="1"/>
    <xf numFmtId="0" fontId="60" fillId="0" borderId="0" xfId="0" applyFont="1"/>
    <xf numFmtId="1" fontId="59" fillId="39" borderId="0" xfId="0" applyNumberFormat="1" applyFont="1" applyFill="1"/>
    <xf numFmtId="169" fontId="59" fillId="39" borderId="0" xfId="0" applyNumberFormat="1" applyFont="1" applyFill="1" applyAlignment="1">
      <alignment horizontal="center"/>
    </xf>
    <xf numFmtId="2" fontId="59" fillId="39" borderId="0" xfId="0" applyNumberFormat="1" applyFont="1" applyFill="1" applyAlignment="1">
      <alignment horizontal="center"/>
    </xf>
    <xf numFmtId="169" fontId="59" fillId="39" borderId="0" xfId="0" applyNumberFormat="1" applyFont="1" applyFill="1" applyAlignment="1">
      <alignment horizontal="left"/>
    </xf>
    <xf numFmtId="169" fontId="59" fillId="39" borderId="0" xfId="0" applyNumberFormat="1" applyFont="1" applyFill="1"/>
    <xf numFmtId="1" fontId="59" fillId="39" borderId="0" xfId="0" applyNumberFormat="1" applyFont="1" applyFill="1" applyAlignment="1">
      <alignment horizontal="left"/>
    </xf>
    <xf numFmtId="0" fontId="0" fillId="39" borderId="0" xfId="0" applyFill="1"/>
    <xf numFmtId="1" fontId="0" fillId="39" borderId="0" xfId="0" applyNumberFormat="1" applyFill="1"/>
    <xf numFmtId="1" fontId="59" fillId="39" borderId="0" xfId="0" applyNumberFormat="1" applyFont="1" applyFill="1" applyAlignment="1">
      <alignment vertical="top"/>
    </xf>
    <xf numFmtId="1" fontId="59" fillId="39" borderId="0" xfId="0" applyNumberFormat="1" applyFont="1" applyFill="1" applyAlignment="1">
      <alignment vertical="center"/>
    </xf>
    <xf numFmtId="0" fontId="59" fillId="39" borderId="0" xfId="0" applyFont="1" applyFill="1" applyAlignment="1">
      <alignment vertical="center"/>
    </xf>
    <xf numFmtId="169" fontId="59" fillId="39" borderId="0" xfId="0" applyNumberFormat="1" applyFont="1" applyFill="1" applyAlignment="1">
      <alignment horizontal="center" vertical="center"/>
    </xf>
    <xf numFmtId="0" fontId="49" fillId="39" borderId="18" xfId="0" applyFont="1" applyFill="1" applyBorder="1" applyAlignment="1">
      <alignment wrapText="1"/>
    </xf>
    <xf numFmtId="0" fontId="42" fillId="39" borderId="0" xfId="0" applyFont="1" applyFill="1"/>
    <xf numFmtId="0" fontId="0" fillId="39" borderId="0" xfId="0" quotePrefix="1" applyFill="1" applyAlignment="1">
      <alignment horizontal="center"/>
    </xf>
    <xf numFmtId="0" fontId="53" fillId="39" borderId="0" xfId="0" applyFont="1" applyFill="1"/>
    <xf numFmtId="0" fontId="0" fillId="39" borderId="7" xfId="0" applyFill="1" applyBorder="1" applyAlignment="1">
      <alignment horizontal="center"/>
    </xf>
    <xf numFmtId="0" fontId="0" fillId="39" borderId="0" xfId="0" applyFill="1" applyAlignment="1">
      <alignment horizontal="center"/>
    </xf>
    <xf numFmtId="0" fontId="14" fillId="40" borderId="27" xfId="0" applyFont="1" applyFill="1" applyBorder="1" applyAlignment="1">
      <alignment horizontal="center" wrapText="1"/>
    </xf>
    <xf numFmtId="0" fontId="0" fillId="0" borderId="17" xfId="0" applyBorder="1"/>
    <xf numFmtId="0" fontId="55" fillId="0" borderId="18" xfId="0" applyFont="1" applyBorder="1"/>
    <xf numFmtId="0" fontId="0" fillId="0" borderId="18" xfId="0" applyBorder="1"/>
    <xf numFmtId="0" fontId="63" fillId="39" borderId="18" xfId="0" applyFont="1" applyFill="1" applyBorder="1" applyAlignment="1"/>
    <xf numFmtId="0" fontId="49" fillId="39" borderId="19" xfId="0" applyFont="1" applyFill="1" applyBorder="1" applyAlignment="1">
      <alignment wrapText="1"/>
    </xf>
    <xf numFmtId="0" fontId="0" fillId="0" borderId="20" xfId="0" applyBorder="1"/>
    <xf numFmtId="0" fontId="49" fillId="39" borderId="0" xfId="0" applyFont="1" applyFill="1" applyBorder="1" applyAlignment="1">
      <alignment wrapText="1"/>
    </xf>
    <xf numFmtId="169" fontId="49" fillId="39" borderId="0" xfId="0" applyNumberFormat="1" applyFont="1" applyFill="1" applyBorder="1" applyAlignment="1">
      <alignment wrapText="1"/>
    </xf>
    <xf numFmtId="0" fontId="49" fillId="39" borderId="21" xfId="0" applyFont="1" applyFill="1" applyBorder="1" applyAlignment="1">
      <alignment wrapText="1"/>
    </xf>
    <xf numFmtId="166" fontId="0" fillId="0" borderId="20" xfId="0" applyNumberFormat="1" applyBorder="1"/>
    <xf numFmtId="166" fontId="62" fillId="0" borderId="20" xfId="0" applyNumberFormat="1" applyFont="1" applyBorder="1"/>
    <xf numFmtId="0" fontId="62" fillId="0" borderId="0" xfId="0" applyFont="1" applyBorder="1"/>
    <xf numFmtId="166" fontId="62" fillId="0" borderId="0" xfId="0" applyNumberFormat="1" applyFont="1" applyBorder="1"/>
    <xf numFmtId="166" fontId="49" fillId="39" borderId="20" xfId="0" applyNumberFormat="1" applyFont="1" applyFill="1" applyBorder="1" applyAlignment="1">
      <alignment wrapText="1"/>
    </xf>
    <xf numFmtId="166" fontId="49" fillId="39" borderId="0" xfId="0" applyNumberFormat="1" applyFont="1" applyFill="1" applyBorder="1" applyAlignment="1">
      <alignment wrapText="1"/>
    </xf>
    <xf numFmtId="169" fontId="0" fillId="41" borderId="22" xfId="0" applyNumberFormat="1" applyFill="1" applyBorder="1"/>
    <xf numFmtId="0" fontId="0" fillId="41" borderId="1" xfId="0" applyFill="1" applyBorder="1"/>
    <xf numFmtId="0" fontId="0" fillId="0" borderId="1" xfId="0" applyBorder="1"/>
    <xf numFmtId="0" fontId="49" fillId="39" borderId="1" xfId="0" applyFont="1" applyFill="1" applyBorder="1" applyAlignment="1">
      <alignment wrapText="1"/>
    </xf>
    <xf numFmtId="169" fontId="0" fillId="41" borderId="1" xfId="0" applyNumberFormat="1" applyFill="1" applyBorder="1"/>
    <xf numFmtId="0" fontId="49" fillId="39" borderId="24" xfId="0" applyFont="1" applyFill="1" applyBorder="1" applyAlignment="1">
      <alignment wrapText="1"/>
    </xf>
    <xf numFmtId="0" fontId="40" fillId="0" borderId="0" xfId="0" applyFont="1" applyAlignment="1">
      <alignment horizontal="left"/>
    </xf>
    <xf numFmtId="0" fontId="0" fillId="0" borderId="13"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61" fillId="0" borderId="0" xfId="0" applyFont="1" applyAlignment="1">
      <alignment horizontal="left"/>
    </xf>
    <xf numFmtId="0" fontId="48" fillId="0" borderId="0" xfId="0" applyFont="1" applyAlignment="1">
      <alignment horizontal="left"/>
    </xf>
    <xf numFmtId="0" fontId="0" fillId="43" borderId="0" xfId="0" applyFill="1" applyAlignment="1">
      <alignment horizontal="left" wrapText="1"/>
    </xf>
    <xf numFmtId="0" fontId="0" fillId="38" borderId="0" xfId="0" applyFill="1" applyAlignment="1">
      <alignment horizontal="left" wrapText="1"/>
    </xf>
    <xf numFmtId="0" fontId="42" fillId="37" borderId="18" xfId="0" applyFont="1" applyFill="1" applyBorder="1" applyAlignment="1">
      <alignment horizontal="left" wrapText="1"/>
    </xf>
    <xf numFmtId="0" fontId="42" fillId="37" borderId="19" xfId="0" applyFont="1" applyFill="1" applyBorder="1" applyAlignment="1">
      <alignment horizontal="left" wrapText="1"/>
    </xf>
    <xf numFmtId="0" fontId="42" fillId="38" borderId="17" xfId="0" applyFont="1" applyFill="1" applyBorder="1" applyAlignment="1">
      <alignment horizontal="left" wrapText="1"/>
    </xf>
    <xf numFmtId="0" fontId="42" fillId="38" borderId="18" xfId="0" applyFont="1" applyFill="1" applyBorder="1" applyAlignment="1">
      <alignment horizontal="left" wrapText="1"/>
    </xf>
    <xf numFmtId="0" fontId="54" fillId="38" borderId="18" xfId="0" applyFont="1" applyFill="1" applyBorder="1" applyAlignment="1">
      <alignment horizontal="center" wrapText="1"/>
    </xf>
    <xf numFmtId="0" fontId="54" fillId="38" borderId="19" xfId="0" applyFont="1" applyFill="1" applyBorder="1" applyAlignment="1">
      <alignment horizontal="center" wrapText="1"/>
    </xf>
    <xf numFmtId="0" fontId="59" fillId="39" borderId="0" xfId="0" applyFont="1" applyFill="1" applyAlignment="1">
      <alignment horizontal="left" vertical="top" wrapText="1"/>
    </xf>
    <xf numFmtId="0" fontId="47" fillId="0" borderId="0" xfId="0" applyFont="1" applyAlignment="1">
      <alignment horizontal="left"/>
    </xf>
    <xf numFmtId="0" fontId="52" fillId="0" borderId="0" xfId="0" applyFont="1" applyAlignment="1">
      <alignment horizontal="center"/>
    </xf>
    <xf numFmtId="0" fontId="0" fillId="0" borderId="14" xfId="0" applyBorder="1" applyAlignment="1">
      <alignment horizontal="center"/>
    </xf>
    <xf numFmtId="0" fontId="42" fillId="0" borderId="0" xfId="0" applyFont="1" applyBorder="1" applyAlignment="1">
      <alignment horizontal="left" vertical="top" wrapText="1"/>
    </xf>
    <xf numFmtId="0" fontId="42" fillId="34" borderId="0" xfId="0" applyFont="1" applyFill="1" applyBorder="1" applyAlignment="1">
      <alignment horizontal="left" vertical="top" wrapText="1"/>
    </xf>
    <xf numFmtId="0" fontId="42" fillId="0" borderId="6" xfId="0" applyFont="1" applyBorder="1" applyAlignment="1">
      <alignment horizontal="left" vertical="top" wrapText="1"/>
    </xf>
    <xf numFmtId="0" fontId="42" fillId="0" borderId="7" xfId="0" applyFont="1" applyBorder="1" applyAlignment="1">
      <alignment horizontal="left" vertical="top" wrapText="1"/>
    </xf>
    <xf numFmtId="0" fontId="42" fillId="34" borderId="6" xfId="0" applyFont="1" applyFill="1" applyBorder="1" applyAlignment="1">
      <alignment horizontal="left" vertical="top" wrapText="1"/>
    </xf>
    <xf numFmtId="0" fontId="42" fillId="34" borderId="7" xfId="0" applyFont="1" applyFill="1" applyBorder="1" applyAlignment="1">
      <alignment horizontal="left" vertical="top" wrapText="1"/>
    </xf>
    <xf numFmtId="0" fontId="42" fillId="0" borderId="2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0" fillId="0" borderId="10" xfId="0" applyFont="1" applyBorder="1" applyAlignment="1">
      <alignment horizontal="center" wrapText="1"/>
    </xf>
    <xf numFmtId="0" fontId="40" fillId="0" borderId="5" xfId="0" applyFont="1" applyBorder="1" applyAlignment="1">
      <alignment horizontal="center" wrapText="1"/>
    </xf>
    <xf numFmtId="0" fontId="40" fillId="0" borderId="11" xfId="0" applyFont="1" applyBorder="1" applyAlignment="1">
      <alignment horizontal="center" wrapText="1"/>
    </xf>
    <xf numFmtId="0" fontId="42" fillId="34" borderId="0" xfId="0" applyFont="1" applyFill="1" applyAlignment="1">
      <alignment horizontal="center" wrapText="1"/>
    </xf>
    <xf numFmtId="0" fontId="42" fillId="34" borderId="20" xfId="0" applyFont="1" applyFill="1" applyBorder="1" applyAlignment="1">
      <alignment horizontal="center" wrapText="1"/>
    </xf>
    <xf numFmtId="0" fontId="42" fillId="34" borderId="0" xfId="0" applyFont="1" applyFill="1" applyBorder="1" applyAlignment="1">
      <alignment horizontal="center" wrapText="1"/>
    </xf>
    <xf numFmtId="0" fontId="48" fillId="0" borderId="0" xfId="0" applyFont="1" applyAlignment="1">
      <alignment horizontal="center"/>
    </xf>
    <xf numFmtId="0" fontId="0" fillId="0" borderId="6" xfId="0" applyBorder="1" applyAlignment="1">
      <alignment horizontal="left" wrapText="1"/>
    </xf>
    <xf numFmtId="0" fontId="0" fillId="0" borderId="0" xfId="0" applyBorder="1" applyAlignment="1">
      <alignment horizontal="left" wrapText="1"/>
    </xf>
    <xf numFmtId="0" fontId="47" fillId="0" borderId="2" xfId="0" applyFont="1" applyBorder="1" applyAlignment="1">
      <alignment horizontal="center"/>
    </xf>
    <xf numFmtId="0" fontId="42" fillId="0" borderId="3" xfId="0" applyFont="1" applyBorder="1" applyAlignment="1">
      <alignment horizontal="center"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Percent 2" xfId="4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5987035711445165E-2"/>
          <c:y val="4.3158482740677816E-2"/>
          <c:w val="0.87621112701821369"/>
          <c:h val="0.82152330327794132"/>
        </c:manualLayout>
      </c:layout>
      <c:barChart>
        <c:barDir val="col"/>
        <c:grouping val="stacked"/>
        <c:ser>
          <c:idx val="0"/>
          <c:order val="0"/>
          <c:tx>
            <c:strRef>
              <c:f>WEO!$CQ$4</c:f>
              <c:strCache>
                <c:ptCount val="1"/>
                <c:pt idx="0">
                  <c:v>DF mixing</c:v>
                </c:pt>
              </c:strCache>
            </c:strRef>
          </c:tx>
          <c:cat>
            <c:strRef>
              <c:f>WEO!$CP$5:$CP$8</c:f>
              <c:strCache>
                <c:ptCount val="4"/>
                <c:pt idx="0">
                  <c:v>Wholesalers mango</c:v>
                </c:pt>
                <c:pt idx="1">
                  <c:v>Wholesalers asian pear</c:v>
                </c:pt>
                <c:pt idx="2">
                  <c:v>Catering waste 1</c:v>
                </c:pt>
                <c:pt idx="3">
                  <c:v>Average</c:v>
                </c:pt>
              </c:strCache>
            </c:strRef>
          </c:cat>
          <c:val>
            <c:numRef>
              <c:f>WEO!$CQ$5:$CQ$8</c:f>
              <c:numCache>
                <c:formatCode>0.00000</c:formatCode>
                <c:ptCount val="4"/>
                <c:pt idx="0">
                  <c:v>8.0425902314677528E-4</c:v>
                </c:pt>
                <c:pt idx="1">
                  <c:v>1.3735486817162868E-3</c:v>
                </c:pt>
                <c:pt idx="2">
                  <c:v>2.6850927180043132E-3</c:v>
                </c:pt>
                <c:pt idx="3">
                  <c:v>1.6209668076224582E-3</c:v>
                </c:pt>
              </c:numCache>
            </c:numRef>
          </c:val>
        </c:ser>
        <c:ser>
          <c:idx val="1"/>
          <c:order val="1"/>
          <c:tx>
            <c:strRef>
              <c:f>WEO!$CR$4</c:f>
              <c:strCache>
                <c:ptCount val="1"/>
                <c:pt idx="0">
                  <c:v>PF mixing</c:v>
                </c:pt>
              </c:strCache>
            </c:strRef>
          </c:tx>
          <c:cat>
            <c:strRef>
              <c:f>WEO!$CP$5:$CP$8</c:f>
              <c:strCache>
                <c:ptCount val="4"/>
                <c:pt idx="0">
                  <c:v>Wholesalers mango</c:v>
                </c:pt>
                <c:pt idx="1">
                  <c:v>Wholesalers asian pear</c:v>
                </c:pt>
                <c:pt idx="2">
                  <c:v>Catering waste 1</c:v>
                </c:pt>
                <c:pt idx="3">
                  <c:v>Average</c:v>
                </c:pt>
              </c:strCache>
            </c:strRef>
          </c:cat>
          <c:val>
            <c:numRef>
              <c:f>WEO!$CR$5:$CR$8</c:f>
              <c:numCache>
                <c:formatCode>0.00000</c:formatCode>
                <c:ptCount val="4"/>
                <c:pt idx="0">
                  <c:v>1.742253611248964E-3</c:v>
                </c:pt>
                <c:pt idx="1">
                  <c:v>2.8465578910161216E-3</c:v>
                </c:pt>
                <c:pt idx="2">
                  <c:v>8.0046273548928736E-4</c:v>
                </c:pt>
                <c:pt idx="3">
                  <c:v>1.7964247459181244E-3</c:v>
                </c:pt>
              </c:numCache>
            </c:numRef>
          </c:val>
        </c:ser>
        <c:ser>
          <c:idx val="2"/>
          <c:order val="2"/>
          <c:tx>
            <c:strRef>
              <c:f>WEO!$CS$4</c:f>
              <c:strCache>
                <c:ptCount val="1"/>
                <c:pt idx="0">
                  <c:v>Electro-separation</c:v>
                </c:pt>
              </c:strCache>
            </c:strRef>
          </c:tx>
          <c:cat>
            <c:strRef>
              <c:f>WEO!$CP$5:$CP$8</c:f>
              <c:strCache>
                <c:ptCount val="4"/>
                <c:pt idx="0">
                  <c:v>Wholesalers mango</c:v>
                </c:pt>
                <c:pt idx="1">
                  <c:v>Wholesalers asian pear</c:v>
                </c:pt>
                <c:pt idx="2">
                  <c:v>Catering waste 1</c:v>
                </c:pt>
                <c:pt idx="3">
                  <c:v>Average</c:v>
                </c:pt>
              </c:strCache>
            </c:strRef>
          </c:cat>
          <c:val>
            <c:numRef>
              <c:f>WEO!$CS$5:$CS$8</c:f>
              <c:numCache>
                <c:formatCode>0.0000</c:formatCode>
                <c:ptCount val="4"/>
                <c:pt idx="0">
                  <c:v>2.1307503080553396E-2</c:v>
                </c:pt>
                <c:pt idx="1">
                  <c:v>9.1254399547164425E-2</c:v>
                </c:pt>
                <c:pt idx="2">
                  <c:v>1.7147654979490928E-2</c:v>
                </c:pt>
                <c:pt idx="3" formatCode="0.00000">
                  <c:v>4.3236519202402908E-2</c:v>
                </c:pt>
              </c:numCache>
            </c:numRef>
          </c:val>
        </c:ser>
        <c:ser>
          <c:idx val="3"/>
          <c:order val="3"/>
          <c:tx>
            <c:strRef>
              <c:f>WEO!$CT$4</c:f>
              <c:strCache>
                <c:ptCount val="1"/>
                <c:pt idx="0">
                  <c:v>HCW</c:v>
                </c:pt>
              </c:strCache>
            </c:strRef>
          </c:tx>
          <c:cat>
            <c:strRef>
              <c:f>WEO!$CP$5:$CP$8</c:f>
              <c:strCache>
                <c:ptCount val="4"/>
                <c:pt idx="0">
                  <c:v>Wholesalers mango</c:v>
                </c:pt>
                <c:pt idx="1">
                  <c:v>Wholesalers asian pear</c:v>
                </c:pt>
                <c:pt idx="2">
                  <c:v>Catering waste 1</c:v>
                </c:pt>
                <c:pt idx="3">
                  <c:v>Average</c:v>
                </c:pt>
              </c:strCache>
            </c:strRef>
          </c:cat>
          <c:val>
            <c:numRef>
              <c:f>WEO!$CT$5:$CT$8</c:f>
              <c:numCache>
                <c:formatCode>0.0000</c:formatCode>
                <c:ptCount val="4"/>
                <c:pt idx="0">
                  <c:v>3.1830471634365053E-2</c:v>
                </c:pt>
                <c:pt idx="1">
                  <c:v>2.1553286928039466E-2</c:v>
                </c:pt>
                <c:pt idx="2">
                  <c:v>2.3924955467302108E-2</c:v>
                </c:pt>
                <c:pt idx="3" formatCode="0.00000">
                  <c:v>2.5769571343235542E-2</c:v>
                </c:pt>
              </c:numCache>
            </c:numRef>
          </c:val>
        </c:ser>
        <c:overlap val="100"/>
        <c:axId val="76612736"/>
        <c:axId val="76614272"/>
      </c:barChart>
      <c:catAx>
        <c:axId val="76612736"/>
        <c:scaling>
          <c:orientation val="minMax"/>
        </c:scaling>
        <c:axPos val="b"/>
        <c:numFmt formatCode="General" sourceLinked="1"/>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76614272"/>
        <c:crosses val="autoZero"/>
        <c:auto val="1"/>
        <c:lblAlgn val="ctr"/>
        <c:lblOffset val="100"/>
      </c:catAx>
      <c:valAx>
        <c:axId val="76614272"/>
        <c:scaling>
          <c:orientation val="minMax"/>
        </c:scaling>
        <c:axPos val="l"/>
        <c:majorGridlines/>
        <c:numFmt formatCode="0.00" sourceLinked="0"/>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76612736"/>
        <c:crosses val="autoZero"/>
        <c:crossBetween val="between"/>
      </c:valAx>
    </c:plotArea>
    <c:legend>
      <c:legendPos val="r"/>
      <c:layout>
        <c:manualLayout>
          <c:xMode val="edge"/>
          <c:yMode val="edge"/>
          <c:x val="0.65906684959834561"/>
          <c:y val="2.5108611792802108E-2"/>
          <c:w val="0.32325638272488716"/>
          <c:h val="0.29672175763849334"/>
        </c:manualLayout>
      </c:layout>
      <c:spPr>
        <a:solidFill>
          <a:schemeClr val="bg1"/>
        </a:solidFill>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2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93</xdr:col>
      <xdr:colOff>0</xdr:colOff>
      <xdr:row>8</xdr:row>
      <xdr:rowOff>123825</xdr:rowOff>
    </xdr:from>
    <xdr:to>
      <xdr:col>99</xdr:col>
      <xdr:colOff>9525</xdr:colOff>
      <xdr:row>22</xdr:row>
      <xdr:rowOff>161925</xdr:rowOff>
    </xdr:to>
    <xdr:graphicFrame macro="">
      <xdr:nvGraphicFramePr>
        <xdr:cNvPr id="71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126</xdr:col>
      <xdr:colOff>83057</xdr:colOff>
      <xdr:row>16</xdr:row>
      <xdr:rowOff>26176</xdr:rowOff>
    </xdr:from>
    <xdr:to>
      <xdr:col>126</xdr:col>
      <xdr:colOff>155065</xdr:colOff>
      <xdr:row>16</xdr:row>
      <xdr:rowOff>98184</xdr:rowOff>
    </xdr:to>
    <xdr:sp macro="" textlink="">
      <xdr:nvSpPr>
        <xdr:cNvPr id="3" name="Rectangle 2"/>
        <xdr:cNvSpPr/>
      </xdr:nvSpPr>
      <xdr:spPr>
        <a:xfrm>
          <a:off x="6788657" y="3074176"/>
          <a:ext cx="72008" cy="7200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GB"/>
        </a:p>
      </xdr:txBody>
    </xdr:sp>
    <xdr:clientData/>
  </xdr:twoCellAnchor>
  <xdr:twoCellAnchor>
    <xdr:from>
      <xdr:col>124</xdr:col>
      <xdr:colOff>249747</xdr:colOff>
      <xdr:row>9</xdr:row>
      <xdr:rowOff>85700</xdr:rowOff>
    </xdr:from>
    <xdr:to>
      <xdr:col>126</xdr:col>
      <xdr:colOff>177232</xdr:colOff>
      <xdr:row>13</xdr:row>
      <xdr:rowOff>115700</xdr:rowOff>
    </xdr:to>
    <xdr:sp macro="" textlink="">
      <xdr:nvSpPr>
        <xdr:cNvPr id="4" name="Rectangle 3"/>
        <xdr:cNvSpPr/>
      </xdr:nvSpPr>
      <xdr:spPr>
        <a:xfrm>
          <a:off x="5736147" y="1800200"/>
          <a:ext cx="1146685"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p>
        <a:p>
          <a:pPr algn="ctr"/>
          <a:r>
            <a:rPr lang="en-GB" sz="2000" b="1" i="1">
              <a:solidFill>
                <a:schemeClr val="tx1"/>
              </a:solidFill>
              <a:latin typeface="Times New Roman" pitchFamily="18" charset="0"/>
              <a:cs typeface="Times New Roman" pitchFamily="18" charset="0"/>
            </a:rPr>
            <a:t>mixing</a:t>
          </a:r>
        </a:p>
      </xdr:txBody>
    </xdr:sp>
    <xdr:clientData/>
  </xdr:twoCellAnchor>
  <xdr:twoCellAnchor>
    <xdr:from>
      <xdr:col>130</xdr:col>
      <xdr:colOff>32202</xdr:colOff>
      <xdr:row>14</xdr:row>
      <xdr:rowOff>119710</xdr:rowOff>
    </xdr:from>
    <xdr:to>
      <xdr:col>133</xdr:col>
      <xdr:colOff>139453</xdr:colOff>
      <xdr:row>18</xdr:row>
      <xdr:rowOff>149798</xdr:rowOff>
    </xdr:to>
    <xdr:sp macro="" textlink="">
      <xdr:nvSpPr>
        <xdr:cNvPr id="5" name="Rectangle 4"/>
        <xdr:cNvSpPr/>
      </xdr:nvSpPr>
      <xdr:spPr>
        <a:xfrm>
          <a:off x="9176202" y="2786710"/>
          <a:ext cx="1936051" cy="792088"/>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Photo-fermentation</a:t>
          </a:r>
        </a:p>
      </xdr:txBody>
    </xdr:sp>
    <xdr:clientData/>
  </xdr:twoCellAnchor>
  <xdr:twoCellAnchor>
    <xdr:from>
      <xdr:col>127</xdr:col>
      <xdr:colOff>465063</xdr:colOff>
      <xdr:row>16</xdr:row>
      <xdr:rowOff>134754</xdr:rowOff>
    </xdr:from>
    <xdr:to>
      <xdr:col>130</xdr:col>
      <xdr:colOff>32202</xdr:colOff>
      <xdr:row>16</xdr:row>
      <xdr:rowOff>134797</xdr:rowOff>
    </xdr:to>
    <xdr:cxnSp macro="">
      <xdr:nvCxnSpPr>
        <xdr:cNvPr id="6" name="Elbow Connector 14"/>
        <xdr:cNvCxnSpPr>
          <a:stCxn id="65" idx="1"/>
          <a:endCxn id="5" idx="1"/>
        </xdr:cNvCxnSpPr>
      </xdr:nvCxnSpPr>
      <xdr:spPr>
        <a:xfrm flipV="1">
          <a:off x="7780263" y="3182754"/>
          <a:ext cx="1395939" cy="43"/>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392414</xdr:colOff>
      <xdr:row>14</xdr:row>
      <xdr:rowOff>119710</xdr:rowOff>
    </xdr:from>
    <xdr:to>
      <xdr:col>121</xdr:col>
      <xdr:colOff>70487</xdr:colOff>
      <xdr:row>18</xdr:row>
      <xdr:rowOff>149798</xdr:rowOff>
    </xdr:to>
    <xdr:sp macro="" textlink="">
      <xdr:nvSpPr>
        <xdr:cNvPr id="7" name="Rectangle 6"/>
        <xdr:cNvSpPr/>
      </xdr:nvSpPr>
      <xdr:spPr>
        <a:xfrm>
          <a:off x="2221214" y="2786710"/>
          <a:ext cx="1506873" cy="792088"/>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HCW hydrolysis</a:t>
          </a:r>
        </a:p>
      </xdr:txBody>
    </xdr:sp>
    <xdr:clientData/>
  </xdr:twoCellAnchor>
  <xdr:twoCellAnchor>
    <xdr:from>
      <xdr:col>121</xdr:col>
      <xdr:colOff>84923</xdr:colOff>
      <xdr:row>14</xdr:row>
      <xdr:rowOff>119710</xdr:rowOff>
    </xdr:from>
    <xdr:to>
      <xdr:col>123</xdr:col>
      <xdr:colOff>141989</xdr:colOff>
      <xdr:row>18</xdr:row>
      <xdr:rowOff>149798</xdr:rowOff>
    </xdr:to>
    <xdr:sp macro="" textlink="">
      <xdr:nvSpPr>
        <xdr:cNvPr id="8" name="Rectangle 7"/>
        <xdr:cNvSpPr/>
      </xdr:nvSpPr>
      <xdr:spPr>
        <a:xfrm>
          <a:off x="3742523" y="2786710"/>
          <a:ext cx="1276266" cy="792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Soluble sugars</a:t>
          </a:r>
        </a:p>
      </xdr:txBody>
    </xdr:sp>
    <xdr:clientData/>
  </xdr:twoCellAnchor>
  <xdr:twoCellAnchor>
    <xdr:from>
      <xdr:col>118</xdr:col>
      <xdr:colOff>609873</xdr:colOff>
      <xdr:row>21</xdr:row>
      <xdr:rowOff>175964</xdr:rowOff>
    </xdr:from>
    <xdr:to>
      <xdr:col>120</xdr:col>
      <xdr:colOff>465350</xdr:colOff>
      <xdr:row>25</xdr:row>
      <xdr:rowOff>133964</xdr:rowOff>
    </xdr:to>
    <xdr:sp macro="" textlink="">
      <xdr:nvSpPr>
        <xdr:cNvPr id="9" name="Rectangle 8"/>
        <xdr:cNvSpPr/>
      </xdr:nvSpPr>
      <xdr:spPr>
        <a:xfrm>
          <a:off x="2438673" y="4176464"/>
          <a:ext cx="1074677" cy="72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Solid residues</a:t>
          </a:r>
        </a:p>
      </xdr:txBody>
    </xdr:sp>
    <xdr:clientData/>
  </xdr:twoCellAnchor>
  <xdr:twoCellAnchor>
    <xdr:from>
      <xdr:col>115</xdr:col>
      <xdr:colOff>0</xdr:colOff>
      <xdr:row>14</xdr:row>
      <xdr:rowOff>119710</xdr:rowOff>
    </xdr:from>
    <xdr:to>
      <xdr:col>116</xdr:col>
      <xdr:colOff>395791</xdr:colOff>
      <xdr:row>18</xdr:row>
      <xdr:rowOff>149798</xdr:rowOff>
    </xdr:to>
    <xdr:sp macro="" textlink="">
      <xdr:nvSpPr>
        <xdr:cNvPr id="10" name="Rectangle 9"/>
        <xdr:cNvSpPr/>
      </xdr:nvSpPr>
      <xdr:spPr>
        <a:xfrm>
          <a:off x="0" y="2786710"/>
          <a:ext cx="1005391" cy="792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Raw wastes</a:t>
          </a:r>
        </a:p>
      </xdr:txBody>
    </xdr:sp>
    <xdr:clientData/>
  </xdr:twoCellAnchor>
  <xdr:twoCellAnchor>
    <xdr:from>
      <xdr:col>128</xdr:col>
      <xdr:colOff>32709</xdr:colOff>
      <xdr:row>14</xdr:row>
      <xdr:rowOff>119710</xdr:rowOff>
    </xdr:from>
    <xdr:to>
      <xdr:col>129</xdr:col>
      <xdr:colOff>422717</xdr:colOff>
      <xdr:row>18</xdr:row>
      <xdr:rowOff>149798</xdr:rowOff>
    </xdr:to>
    <xdr:sp macro="" textlink="">
      <xdr:nvSpPr>
        <xdr:cNvPr id="11" name="Rectangle 10"/>
        <xdr:cNvSpPr/>
      </xdr:nvSpPr>
      <xdr:spPr>
        <a:xfrm>
          <a:off x="7957509" y="2786710"/>
          <a:ext cx="999608" cy="792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Organic acids</a:t>
          </a:r>
        </a:p>
      </xdr:txBody>
    </xdr:sp>
    <xdr:clientData/>
  </xdr:twoCellAnchor>
  <xdr:twoCellAnchor>
    <xdr:from>
      <xdr:col>121</xdr:col>
      <xdr:colOff>70487</xdr:colOff>
      <xdr:row>16</xdr:row>
      <xdr:rowOff>134754</xdr:rowOff>
    </xdr:from>
    <xdr:to>
      <xdr:col>123</xdr:col>
      <xdr:colOff>213997</xdr:colOff>
      <xdr:row>16</xdr:row>
      <xdr:rowOff>136342</xdr:rowOff>
    </xdr:to>
    <xdr:cxnSp macro="">
      <xdr:nvCxnSpPr>
        <xdr:cNvPr id="12" name="Elbow Connector 21"/>
        <xdr:cNvCxnSpPr>
          <a:stCxn id="7" idx="3"/>
          <a:endCxn id="49" idx="1"/>
        </xdr:cNvCxnSpPr>
      </xdr:nvCxnSpPr>
      <xdr:spPr>
        <a:xfrm>
          <a:off x="3728087" y="3182754"/>
          <a:ext cx="1362710" cy="15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536817</xdr:colOff>
      <xdr:row>18</xdr:row>
      <xdr:rowOff>150592</xdr:rowOff>
    </xdr:from>
    <xdr:to>
      <xdr:col>119</xdr:col>
      <xdr:colOff>538405</xdr:colOff>
      <xdr:row>21</xdr:row>
      <xdr:rowOff>176758</xdr:rowOff>
    </xdr:to>
    <xdr:cxnSp macro="">
      <xdr:nvCxnSpPr>
        <xdr:cNvPr id="13" name="Elbow Connector 12"/>
        <xdr:cNvCxnSpPr>
          <a:stCxn id="7" idx="2"/>
          <a:endCxn id="9" idx="0"/>
        </xdr:cNvCxnSpPr>
      </xdr:nvCxnSpPr>
      <xdr:spPr>
        <a:xfrm rot="5400000">
          <a:off x="2677178" y="3877631"/>
          <a:ext cx="597666" cy="1588"/>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395791</xdr:colOff>
      <xdr:row>16</xdr:row>
      <xdr:rowOff>134754</xdr:rowOff>
    </xdr:from>
    <xdr:to>
      <xdr:col>118</xdr:col>
      <xdr:colOff>392414</xdr:colOff>
      <xdr:row>16</xdr:row>
      <xdr:rowOff>136342</xdr:rowOff>
    </xdr:to>
    <xdr:cxnSp macro="">
      <xdr:nvCxnSpPr>
        <xdr:cNvPr id="14" name="Elbow Connector 32"/>
        <xdr:cNvCxnSpPr>
          <a:stCxn id="10" idx="3"/>
          <a:endCxn id="7" idx="1"/>
        </xdr:cNvCxnSpPr>
      </xdr:nvCxnSpPr>
      <xdr:spPr>
        <a:xfrm>
          <a:off x="1005391" y="3182754"/>
          <a:ext cx="1215823" cy="15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130</xdr:col>
      <xdr:colOff>536258</xdr:colOff>
      <xdr:row>28</xdr:row>
      <xdr:rowOff>37797</xdr:rowOff>
    </xdr:from>
    <xdr:to>
      <xdr:col>132</xdr:col>
      <xdr:colOff>247719</xdr:colOff>
      <xdr:row>30</xdr:row>
      <xdr:rowOff>74444</xdr:rowOff>
    </xdr:to>
    <xdr:sp macro="" textlink="">
      <xdr:nvSpPr>
        <xdr:cNvPr id="15" name="Rectangle 14"/>
        <xdr:cNvSpPr/>
      </xdr:nvSpPr>
      <xdr:spPr>
        <a:xfrm>
          <a:off x="9680258" y="5371797"/>
          <a:ext cx="930661" cy="417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BioH</a:t>
          </a:r>
          <a:r>
            <a:rPr lang="en-GB" sz="2000" baseline="-25000">
              <a:solidFill>
                <a:schemeClr val="tx1"/>
              </a:solidFill>
              <a:latin typeface="Times New Roman" pitchFamily="18" charset="0"/>
              <a:cs typeface="Times New Roman" pitchFamily="18" charset="0"/>
            </a:rPr>
            <a:t>2</a:t>
          </a:r>
        </a:p>
      </xdr:txBody>
    </xdr:sp>
    <xdr:clientData/>
  </xdr:twoCellAnchor>
  <xdr:twoCellAnchor>
    <xdr:from>
      <xdr:col>131</xdr:col>
      <xdr:colOff>391195</xdr:colOff>
      <xdr:row>18</xdr:row>
      <xdr:rowOff>150591</xdr:rowOff>
    </xdr:from>
    <xdr:to>
      <xdr:col>131</xdr:col>
      <xdr:colOff>392783</xdr:colOff>
      <xdr:row>28</xdr:row>
      <xdr:rowOff>38590</xdr:rowOff>
    </xdr:to>
    <xdr:cxnSp macro="">
      <xdr:nvCxnSpPr>
        <xdr:cNvPr id="16" name="Elbow Connector 15"/>
        <xdr:cNvCxnSpPr>
          <a:stCxn id="5" idx="2"/>
          <a:endCxn id="15" idx="0"/>
        </xdr:cNvCxnSpPr>
      </xdr:nvCxnSpPr>
      <xdr:spPr>
        <a:xfrm rot="5400000">
          <a:off x="9249089" y="4475297"/>
          <a:ext cx="1792999" cy="1588"/>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573023</xdr:colOff>
      <xdr:row>23</xdr:row>
      <xdr:rowOff>11068</xdr:rowOff>
    </xdr:from>
    <xdr:to>
      <xdr:col>130</xdr:col>
      <xdr:colOff>248226</xdr:colOff>
      <xdr:row>26</xdr:row>
      <xdr:rowOff>159568</xdr:rowOff>
    </xdr:to>
    <xdr:sp macro="" textlink="">
      <xdr:nvSpPr>
        <xdr:cNvPr id="17" name="Rectangle 16"/>
        <xdr:cNvSpPr/>
      </xdr:nvSpPr>
      <xdr:spPr>
        <a:xfrm>
          <a:off x="7888223" y="4392568"/>
          <a:ext cx="1504003" cy="72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Excess cells</a:t>
          </a:r>
          <a:r>
            <a:rPr lang="en-GB" sz="2000" baseline="30000">
              <a:solidFill>
                <a:schemeClr val="tx1"/>
              </a:solidFill>
              <a:latin typeface="Times New Roman" pitchFamily="18" charset="0"/>
              <a:cs typeface="Times New Roman" pitchFamily="18" charset="0"/>
            </a:rPr>
            <a:t>e</a:t>
          </a:r>
        </a:p>
      </xdr:txBody>
    </xdr:sp>
    <xdr:clientData/>
  </xdr:twoCellAnchor>
  <xdr:twoCellAnchor>
    <xdr:from>
      <xdr:col>124</xdr:col>
      <xdr:colOff>383675</xdr:colOff>
      <xdr:row>18</xdr:row>
      <xdr:rowOff>149798</xdr:rowOff>
    </xdr:from>
    <xdr:to>
      <xdr:col>127</xdr:col>
      <xdr:colOff>573023</xdr:colOff>
      <xdr:row>24</xdr:row>
      <xdr:rowOff>180568</xdr:rowOff>
    </xdr:to>
    <xdr:cxnSp macro="">
      <xdr:nvCxnSpPr>
        <xdr:cNvPr id="18" name="Elbow Connector 38"/>
        <xdr:cNvCxnSpPr>
          <a:stCxn id="49" idx="2"/>
          <a:endCxn id="17" idx="1"/>
        </xdr:cNvCxnSpPr>
      </xdr:nvCxnSpPr>
      <xdr:spPr>
        <a:xfrm rot="16200000" flipH="1">
          <a:off x="6292264" y="3156609"/>
          <a:ext cx="1173770" cy="2018148"/>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130</xdr:col>
      <xdr:colOff>248226</xdr:colOff>
      <xdr:row>18</xdr:row>
      <xdr:rowOff>149798</xdr:rowOff>
    </xdr:from>
    <xdr:to>
      <xdr:col>131</xdr:col>
      <xdr:colOff>391988</xdr:colOff>
      <xdr:row>24</xdr:row>
      <xdr:rowOff>180568</xdr:rowOff>
    </xdr:to>
    <xdr:cxnSp macro="">
      <xdr:nvCxnSpPr>
        <xdr:cNvPr id="19" name="Elbow Connector 38"/>
        <xdr:cNvCxnSpPr>
          <a:stCxn id="5" idx="2"/>
          <a:endCxn id="17" idx="3"/>
        </xdr:cNvCxnSpPr>
      </xdr:nvCxnSpPr>
      <xdr:spPr>
        <a:xfrm rot="5400000">
          <a:off x="9182022" y="3789002"/>
          <a:ext cx="1173770" cy="753362"/>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463489</xdr:colOff>
      <xdr:row>27</xdr:row>
      <xdr:rowOff>41076</xdr:rowOff>
    </xdr:from>
    <xdr:to>
      <xdr:col>135</xdr:col>
      <xdr:colOff>102942</xdr:colOff>
      <xdr:row>31</xdr:row>
      <xdr:rowOff>71164</xdr:rowOff>
    </xdr:to>
    <xdr:sp macro="" textlink="">
      <xdr:nvSpPr>
        <xdr:cNvPr id="20" name="Rectangle 19"/>
        <xdr:cNvSpPr/>
      </xdr:nvSpPr>
      <xdr:spPr>
        <a:xfrm>
          <a:off x="11436289" y="5184576"/>
          <a:ext cx="858653" cy="792088"/>
        </a:xfrm>
        <a:prstGeom prst="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Fuel cell</a:t>
          </a:r>
          <a:r>
            <a:rPr lang="en-GB" sz="2000" baseline="30000">
              <a:solidFill>
                <a:schemeClr val="tx1"/>
              </a:solidFill>
              <a:latin typeface="Times New Roman" pitchFamily="18" charset="0"/>
              <a:cs typeface="Times New Roman" pitchFamily="18" charset="0"/>
            </a:rPr>
            <a:t>b</a:t>
          </a:r>
        </a:p>
      </xdr:txBody>
    </xdr:sp>
    <xdr:clientData/>
  </xdr:twoCellAnchor>
  <xdr:twoCellAnchor>
    <xdr:from>
      <xdr:col>132</xdr:col>
      <xdr:colOff>247719</xdr:colOff>
      <xdr:row>29</xdr:row>
      <xdr:rowOff>56120</xdr:rowOff>
    </xdr:from>
    <xdr:to>
      <xdr:col>133</xdr:col>
      <xdr:colOff>463489</xdr:colOff>
      <xdr:row>29</xdr:row>
      <xdr:rowOff>56121</xdr:rowOff>
    </xdr:to>
    <xdr:cxnSp macro="">
      <xdr:nvCxnSpPr>
        <xdr:cNvPr id="21" name="Elbow Connector 20"/>
        <xdr:cNvCxnSpPr>
          <a:stCxn id="15" idx="3"/>
          <a:endCxn id="20" idx="1"/>
        </xdr:cNvCxnSpPr>
      </xdr:nvCxnSpPr>
      <xdr:spPr>
        <a:xfrm flipV="1">
          <a:off x="10610919" y="5580620"/>
          <a:ext cx="825370" cy="1"/>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250678</xdr:colOff>
      <xdr:row>27</xdr:row>
      <xdr:rowOff>41077</xdr:rowOff>
    </xdr:from>
    <xdr:to>
      <xdr:col>137</xdr:col>
      <xdr:colOff>574461</xdr:colOff>
      <xdr:row>31</xdr:row>
      <xdr:rowOff>71077</xdr:rowOff>
    </xdr:to>
    <xdr:sp macro="" textlink="">
      <xdr:nvSpPr>
        <xdr:cNvPr id="22" name="Rectangle 21"/>
        <xdr:cNvSpPr/>
      </xdr:nvSpPr>
      <xdr:spPr>
        <a:xfrm>
          <a:off x="106250321" y="11647970"/>
          <a:ext cx="936104" cy="1091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Heat</a:t>
          </a:r>
          <a:endParaRPr lang="en-GB" sz="2000" baseline="-25000">
            <a:solidFill>
              <a:schemeClr val="tx1"/>
            </a:solidFill>
            <a:latin typeface="Times New Roman" pitchFamily="18" charset="0"/>
            <a:cs typeface="Times New Roman" pitchFamily="18" charset="0"/>
          </a:endParaRPr>
        </a:p>
      </xdr:txBody>
    </xdr:sp>
    <xdr:clientData/>
  </xdr:twoCellAnchor>
  <xdr:twoCellAnchor>
    <xdr:from>
      <xdr:col>135</xdr:col>
      <xdr:colOff>102942</xdr:colOff>
      <xdr:row>29</xdr:row>
      <xdr:rowOff>69685</xdr:rowOff>
    </xdr:from>
    <xdr:to>
      <xdr:col>136</xdr:col>
      <xdr:colOff>250678</xdr:colOff>
      <xdr:row>29</xdr:row>
      <xdr:rowOff>69728</xdr:rowOff>
    </xdr:to>
    <xdr:cxnSp macro="">
      <xdr:nvCxnSpPr>
        <xdr:cNvPr id="23" name="Elbow Connector 38"/>
        <xdr:cNvCxnSpPr>
          <a:stCxn id="20" idx="3"/>
          <a:endCxn id="22" idx="1"/>
        </xdr:cNvCxnSpPr>
      </xdr:nvCxnSpPr>
      <xdr:spPr>
        <a:xfrm flipV="1">
          <a:off x="105490263" y="12193649"/>
          <a:ext cx="760058" cy="43"/>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427485</xdr:colOff>
      <xdr:row>14</xdr:row>
      <xdr:rowOff>119710</xdr:rowOff>
    </xdr:from>
    <xdr:to>
      <xdr:col>135</xdr:col>
      <xdr:colOff>138946</xdr:colOff>
      <xdr:row>18</xdr:row>
      <xdr:rowOff>149710</xdr:rowOff>
    </xdr:to>
    <xdr:sp macro="" textlink="">
      <xdr:nvSpPr>
        <xdr:cNvPr id="24" name="Rectangle 23"/>
        <xdr:cNvSpPr/>
      </xdr:nvSpPr>
      <xdr:spPr>
        <a:xfrm>
          <a:off x="11400285" y="2786710"/>
          <a:ext cx="930661"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Gross</a:t>
          </a:r>
        </a:p>
        <a:p>
          <a:pPr algn="ctr"/>
          <a:r>
            <a:rPr lang="en-GB" sz="2000">
              <a:solidFill>
                <a:schemeClr val="tx1"/>
              </a:solidFill>
              <a:latin typeface="Times New Roman" pitchFamily="18" charset="0"/>
              <a:cs typeface="Times New Roman" pitchFamily="18" charset="0"/>
            </a:rPr>
            <a:t>Power</a:t>
          </a:r>
          <a:endParaRPr lang="en-GB" sz="2000" baseline="-25000">
            <a:solidFill>
              <a:schemeClr val="tx1"/>
            </a:solidFill>
            <a:latin typeface="Times New Roman" pitchFamily="18" charset="0"/>
            <a:cs typeface="Times New Roman" pitchFamily="18" charset="0"/>
          </a:endParaRPr>
        </a:p>
      </xdr:txBody>
    </xdr:sp>
    <xdr:clientData/>
  </xdr:twoCellAnchor>
  <xdr:twoCellAnchor>
    <xdr:from>
      <xdr:col>136</xdr:col>
      <xdr:colOff>120692</xdr:colOff>
      <xdr:row>14</xdr:row>
      <xdr:rowOff>119710</xdr:rowOff>
    </xdr:from>
    <xdr:to>
      <xdr:col>138</xdr:col>
      <xdr:colOff>228197</xdr:colOff>
      <xdr:row>18</xdr:row>
      <xdr:rowOff>149710</xdr:rowOff>
    </xdr:to>
    <xdr:sp macro="" textlink="">
      <xdr:nvSpPr>
        <xdr:cNvPr id="25" name="Rectangle 24"/>
        <xdr:cNvSpPr/>
      </xdr:nvSpPr>
      <xdr:spPr>
        <a:xfrm>
          <a:off x="12922292" y="2786710"/>
          <a:ext cx="1326705"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Incentive revenues</a:t>
          </a:r>
          <a:r>
            <a:rPr lang="en-GB" sz="2000" baseline="30000">
              <a:solidFill>
                <a:schemeClr val="tx1"/>
              </a:solidFill>
              <a:latin typeface="Times New Roman" pitchFamily="18" charset="0"/>
              <a:cs typeface="Times New Roman" pitchFamily="18" charset="0"/>
            </a:rPr>
            <a:t>a</a:t>
          </a:r>
        </a:p>
      </xdr:txBody>
    </xdr:sp>
    <xdr:clientData/>
  </xdr:twoCellAnchor>
  <xdr:twoCellAnchor>
    <xdr:from>
      <xdr:col>134</xdr:col>
      <xdr:colOff>282422</xdr:colOff>
      <xdr:row>18</xdr:row>
      <xdr:rowOff>150504</xdr:rowOff>
    </xdr:from>
    <xdr:to>
      <xdr:col>134</xdr:col>
      <xdr:colOff>284010</xdr:colOff>
      <xdr:row>27</xdr:row>
      <xdr:rowOff>41870</xdr:rowOff>
    </xdr:to>
    <xdr:cxnSp macro="">
      <xdr:nvCxnSpPr>
        <xdr:cNvPr id="26" name="Elbow Connector 25"/>
        <xdr:cNvCxnSpPr>
          <a:stCxn id="20" idx="0"/>
          <a:endCxn id="24" idx="2"/>
        </xdr:cNvCxnSpPr>
      </xdr:nvCxnSpPr>
      <xdr:spPr>
        <a:xfrm rot="5400000" flipH="1" flipV="1">
          <a:off x="11062683" y="4381643"/>
          <a:ext cx="1605866" cy="1588"/>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135</xdr:col>
      <xdr:colOff>138946</xdr:colOff>
      <xdr:row>16</xdr:row>
      <xdr:rowOff>134710</xdr:rowOff>
    </xdr:from>
    <xdr:to>
      <xdr:col>136</xdr:col>
      <xdr:colOff>120692</xdr:colOff>
      <xdr:row>16</xdr:row>
      <xdr:rowOff>136298</xdr:rowOff>
    </xdr:to>
    <xdr:cxnSp macro="">
      <xdr:nvCxnSpPr>
        <xdr:cNvPr id="27" name="Elbow Connector 38"/>
        <xdr:cNvCxnSpPr>
          <a:stCxn id="24" idx="3"/>
          <a:endCxn id="25" idx="1"/>
        </xdr:cNvCxnSpPr>
      </xdr:nvCxnSpPr>
      <xdr:spPr>
        <a:xfrm>
          <a:off x="12330946" y="3182710"/>
          <a:ext cx="591346" cy="15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537611</xdr:colOff>
      <xdr:row>9</xdr:row>
      <xdr:rowOff>157708</xdr:rowOff>
    </xdr:from>
    <xdr:to>
      <xdr:col>133</xdr:col>
      <xdr:colOff>355477</xdr:colOff>
      <xdr:row>14</xdr:row>
      <xdr:rowOff>119710</xdr:rowOff>
    </xdr:to>
    <xdr:cxnSp macro="">
      <xdr:nvCxnSpPr>
        <xdr:cNvPr id="28" name="Elbow Connector 38"/>
        <xdr:cNvCxnSpPr>
          <a:stCxn id="29" idx="1"/>
          <a:endCxn id="7" idx="0"/>
        </xdr:cNvCxnSpPr>
      </xdr:nvCxnSpPr>
      <xdr:spPr>
        <a:xfrm rot="10800000" flipV="1">
          <a:off x="2976011" y="1872208"/>
          <a:ext cx="8352266" cy="914502"/>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355477</xdr:colOff>
      <xdr:row>8</xdr:row>
      <xdr:rowOff>60176</xdr:rowOff>
    </xdr:from>
    <xdr:to>
      <xdr:col>135</xdr:col>
      <xdr:colOff>210954</xdr:colOff>
      <xdr:row>11</xdr:row>
      <xdr:rowOff>64740</xdr:rowOff>
    </xdr:to>
    <xdr:sp macro="" textlink="">
      <xdr:nvSpPr>
        <xdr:cNvPr id="29" name="Rectangle 28"/>
        <xdr:cNvSpPr/>
      </xdr:nvSpPr>
      <xdr:spPr>
        <a:xfrm>
          <a:off x="11328277" y="1584176"/>
          <a:ext cx="1074677" cy="5760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Parasitic energy</a:t>
          </a:r>
          <a:endParaRPr lang="en-GB" sz="2000" baseline="-25000">
            <a:solidFill>
              <a:schemeClr val="tx1"/>
            </a:solidFill>
            <a:latin typeface="Times New Roman" pitchFamily="18" charset="0"/>
            <a:cs typeface="Times New Roman" pitchFamily="18" charset="0"/>
          </a:endParaRPr>
        </a:p>
      </xdr:txBody>
    </xdr:sp>
    <xdr:clientData/>
  </xdr:twoCellAnchor>
  <xdr:twoCellAnchor>
    <xdr:from>
      <xdr:col>126</xdr:col>
      <xdr:colOff>119061</xdr:colOff>
      <xdr:row>9</xdr:row>
      <xdr:rowOff>157708</xdr:rowOff>
    </xdr:from>
    <xdr:to>
      <xdr:col>133</xdr:col>
      <xdr:colOff>355477</xdr:colOff>
      <xdr:row>16</xdr:row>
      <xdr:rowOff>26176</xdr:rowOff>
    </xdr:to>
    <xdr:cxnSp macro="">
      <xdr:nvCxnSpPr>
        <xdr:cNvPr id="30" name="Elbow Connector 38"/>
        <xdr:cNvCxnSpPr>
          <a:stCxn id="29" idx="1"/>
          <a:endCxn id="3" idx="0"/>
        </xdr:cNvCxnSpPr>
      </xdr:nvCxnSpPr>
      <xdr:spPr>
        <a:xfrm rot="10800000" flipV="1">
          <a:off x="6824661" y="1872208"/>
          <a:ext cx="4503616" cy="1201968"/>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134</xdr:col>
      <xdr:colOff>282422</xdr:colOff>
      <xdr:row>11</xdr:row>
      <xdr:rowOff>65534</xdr:rowOff>
    </xdr:from>
    <xdr:to>
      <xdr:col>134</xdr:col>
      <xdr:colOff>284010</xdr:colOff>
      <xdr:row>14</xdr:row>
      <xdr:rowOff>120504</xdr:rowOff>
    </xdr:to>
    <xdr:cxnSp macro="">
      <xdr:nvCxnSpPr>
        <xdr:cNvPr id="31" name="Elbow Connector 38"/>
        <xdr:cNvCxnSpPr>
          <a:stCxn id="24" idx="0"/>
          <a:endCxn id="29" idx="2"/>
        </xdr:cNvCxnSpPr>
      </xdr:nvCxnSpPr>
      <xdr:spPr>
        <a:xfrm rot="5400000" flipH="1" flipV="1">
          <a:off x="11552381" y="2473475"/>
          <a:ext cx="626470" cy="15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211462</xdr:colOff>
      <xdr:row>0</xdr:row>
      <xdr:rowOff>0</xdr:rowOff>
    </xdr:from>
    <xdr:to>
      <xdr:col>135</xdr:col>
      <xdr:colOff>354970</xdr:colOff>
      <xdr:row>4</xdr:row>
      <xdr:rowOff>30176</xdr:rowOff>
    </xdr:to>
    <xdr:sp macro="" textlink="">
      <xdr:nvSpPr>
        <xdr:cNvPr id="32" name="Rectangle 31"/>
        <xdr:cNvSpPr/>
      </xdr:nvSpPr>
      <xdr:spPr>
        <a:xfrm>
          <a:off x="11184262" y="0"/>
          <a:ext cx="1362708" cy="792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Net power output</a:t>
          </a:r>
          <a:endParaRPr lang="en-GB" sz="2000" baseline="-25000">
            <a:solidFill>
              <a:schemeClr val="tx1"/>
            </a:solidFill>
            <a:latin typeface="Times New Roman" pitchFamily="18" charset="0"/>
            <a:cs typeface="Times New Roman" pitchFamily="18" charset="0"/>
          </a:endParaRPr>
        </a:p>
      </xdr:txBody>
    </xdr:sp>
    <xdr:clientData/>
  </xdr:twoCellAnchor>
  <xdr:twoCellAnchor>
    <xdr:from>
      <xdr:col>136</xdr:col>
      <xdr:colOff>174698</xdr:colOff>
      <xdr:row>0</xdr:row>
      <xdr:rowOff>0</xdr:rowOff>
    </xdr:from>
    <xdr:to>
      <xdr:col>138</xdr:col>
      <xdr:colOff>174191</xdr:colOff>
      <xdr:row>4</xdr:row>
      <xdr:rowOff>30088</xdr:rowOff>
    </xdr:to>
    <xdr:sp macro="" textlink="">
      <xdr:nvSpPr>
        <xdr:cNvPr id="33" name="Rectangle 32"/>
        <xdr:cNvSpPr/>
      </xdr:nvSpPr>
      <xdr:spPr>
        <a:xfrm>
          <a:off x="12976298" y="0"/>
          <a:ext cx="1218693" cy="792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Export revenues</a:t>
          </a:r>
          <a:r>
            <a:rPr lang="en-GB" sz="2000" baseline="30000">
              <a:solidFill>
                <a:schemeClr val="tx1"/>
              </a:solidFill>
              <a:latin typeface="Times New Roman" pitchFamily="18" charset="0"/>
              <a:cs typeface="Times New Roman" pitchFamily="18" charset="0"/>
            </a:rPr>
            <a:t>c</a:t>
          </a:r>
        </a:p>
      </xdr:txBody>
    </xdr:sp>
    <xdr:clientData/>
  </xdr:twoCellAnchor>
  <xdr:twoCellAnchor>
    <xdr:from>
      <xdr:col>135</xdr:col>
      <xdr:colOff>354970</xdr:colOff>
      <xdr:row>2</xdr:row>
      <xdr:rowOff>15044</xdr:rowOff>
    </xdr:from>
    <xdr:to>
      <xdr:col>136</xdr:col>
      <xdr:colOff>174698</xdr:colOff>
      <xdr:row>2</xdr:row>
      <xdr:rowOff>15088</xdr:rowOff>
    </xdr:to>
    <xdr:cxnSp macro="">
      <xdr:nvCxnSpPr>
        <xdr:cNvPr id="34" name="Elbow Connector 38"/>
        <xdr:cNvCxnSpPr>
          <a:stCxn id="32" idx="3"/>
          <a:endCxn id="33" idx="1"/>
        </xdr:cNvCxnSpPr>
      </xdr:nvCxnSpPr>
      <xdr:spPr>
        <a:xfrm flipV="1">
          <a:off x="12546970" y="396044"/>
          <a:ext cx="429328" cy="44"/>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134</xdr:col>
      <xdr:colOff>283215</xdr:colOff>
      <xdr:row>4</xdr:row>
      <xdr:rowOff>30177</xdr:rowOff>
    </xdr:from>
    <xdr:to>
      <xdr:col>134</xdr:col>
      <xdr:colOff>283216</xdr:colOff>
      <xdr:row>8</xdr:row>
      <xdr:rowOff>60177</xdr:rowOff>
    </xdr:to>
    <xdr:cxnSp macro="">
      <xdr:nvCxnSpPr>
        <xdr:cNvPr id="35" name="Elbow Connector 34"/>
        <xdr:cNvCxnSpPr>
          <a:stCxn id="29" idx="0"/>
          <a:endCxn id="32" idx="2"/>
        </xdr:cNvCxnSpPr>
      </xdr:nvCxnSpPr>
      <xdr:spPr>
        <a:xfrm rot="5400000" flipH="1" flipV="1">
          <a:off x="11469616" y="1188176"/>
          <a:ext cx="792000" cy="1"/>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215771</xdr:colOff>
      <xdr:row>16</xdr:row>
      <xdr:rowOff>120352</xdr:rowOff>
    </xdr:from>
    <xdr:to>
      <xdr:col>118</xdr:col>
      <xdr:colOff>416434</xdr:colOff>
      <xdr:row>20</xdr:row>
      <xdr:rowOff>78432</xdr:rowOff>
    </xdr:to>
    <xdr:sp macro="" textlink="">
      <xdr:nvSpPr>
        <xdr:cNvPr id="36" name="Rectangle 35"/>
        <xdr:cNvSpPr/>
      </xdr:nvSpPr>
      <xdr:spPr>
        <a:xfrm>
          <a:off x="825371" y="3168352"/>
          <a:ext cx="1419863" cy="720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1 tonne waste food</a:t>
          </a:r>
        </a:p>
      </xdr:txBody>
    </xdr:sp>
    <xdr:clientData/>
  </xdr:twoCellAnchor>
  <xdr:twoCellAnchor>
    <xdr:from>
      <xdr:col>120</xdr:col>
      <xdr:colOff>538793</xdr:colOff>
      <xdr:row>21</xdr:row>
      <xdr:rowOff>175964</xdr:rowOff>
    </xdr:from>
    <xdr:to>
      <xdr:col>123</xdr:col>
      <xdr:colOff>502029</xdr:colOff>
      <xdr:row>25</xdr:row>
      <xdr:rowOff>133964</xdr:rowOff>
    </xdr:to>
    <xdr:sp macro="" textlink="">
      <xdr:nvSpPr>
        <xdr:cNvPr id="37" name="Rectangle 36"/>
        <xdr:cNvSpPr/>
      </xdr:nvSpPr>
      <xdr:spPr>
        <a:xfrm>
          <a:off x="3586793" y="4176464"/>
          <a:ext cx="1792036" cy="72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0.02 t residue from HCW</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127</xdr:col>
      <xdr:colOff>284991</xdr:colOff>
      <xdr:row>27</xdr:row>
      <xdr:rowOff>113084</xdr:rowOff>
    </xdr:from>
    <xdr:to>
      <xdr:col>129</xdr:col>
      <xdr:colOff>572516</xdr:colOff>
      <xdr:row>33</xdr:row>
      <xdr:rowOff>50204</xdr:rowOff>
    </xdr:to>
    <xdr:sp macro="" textlink="">
      <xdr:nvSpPr>
        <xdr:cNvPr id="38" name="Rectangle 37"/>
        <xdr:cNvSpPr/>
      </xdr:nvSpPr>
      <xdr:spPr>
        <a:xfrm>
          <a:off x="7600191" y="5256584"/>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mol</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131</xdr:col>
      <xdr:colOff>211969</xdr:colOff>
      <xdr:row>23</xdr:row>
      <xdr:rowOff>155004</xdr:rowOff>
    </xdr:from>
    <xdr:to>
      <xdr:col>133</xdr:col>
      <xdr:colOff>499494</xdr:colOff>
      <xdr:row>29</xdr:row>
      <xdr:rowOff>92124</xdr:rowOff>
    </xdr:to>
    <xdr:sp macro="" textlink="">
      <xdr:nvSpPr>
        <xdr:cNvPr id="39" name="Rectangle 38"/>
        <xdr:cNvSpPr/>
      </xdr:nvSpPr>
      <xdr:spPr>
        <a:xfrm>
          <a:off x="9965569" y="4536504"/>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mol</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130</xdr:col>
      <xdr:colOff>555134</xdr:colOff>
      <xdr:row>30</xdr:row>
      <xdr:rowOff>37130</xdr:rowOff>
    </xdr:from>
    <xdr:to>
      <xdr:col>133</xdr:col>
      <xdr:colOff>228826</xdr:colOff>
      <xdr:row>32</xdr:row>
      <xdr:rowOff>88178</xdr:rowOff>
    </xdr:to>
    <xdr:sp macro="" textlink="">
      <xdr:nvSpPr>
        <xdr:cNvPr id="40" name="Rectangle 39"/>
        <xdr:cNvSpPr/>
      </xdr:nvSpPr>
      <xdr:spPr>
        <a:xfrm>
          <a:off x="9699134" y="5752130"/>
          <a:ext cx="1502492" cy="432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mol</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136</xdr:col>
      <xdr:colOff>30682</xdr:colOff>
      <xdr:row>29</xdr:row>
      <xdr:rowOff>164132</xdr:rowOff>
    </xdr:from>
    <xdr:to>
      <xdr:col>138</xdr:col>
      <xdr:colOff>318207</xdr:colOff>
      <xdr:row>32</xdr:row>
      <xdr:rowOff>24680</xdr:rowOff>
    </xdr:to>
    <xdr:sp macro="" textlink="">
      <xdr:nvSpPr>
        <xdr:cNvPr id="41" name="Rectangle 40"/>
        <xdr:cNvSpPr/>
      </xdr:nvSpPr>
      <xdr:spPr>
        <a:xfrm>
          <a:off x="12832282" y="5688632"/>
          <a:ext cx="1506725" cy="432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136</xdr:col>
      <xdr:colOff>30682</xdr:colOff>
      <xdr:row>16</xdr:row>
      <xdr:rowOff>120352</xdr:rowOff>
    </xdr:from>
    <xdr:to>
      <xdr:col>138</xdr:col>
      <xdr:colOff>318207</xdr:colOff>
      <xdr:row>22</xdr:row>
      <xdr:rowOff>57472</xdr:rowOff>
    </xdr:to>
    <xdr:sp macro="" textlink="">
      <xdr:nvSpPr>
        <xdr:cNvPr id="42" name="Rectangle 41"/>
        <xdr:cNvSpPr/>
      </xdr:nvSpPr>
      <xdr:spPr>
        <a:xfrm>
          <a:off x="12832282" y="3168352"/>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GBP    </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136</xdr:col>
      <xdr:colOff>30682</xdr:colOff>
      <xdr:row>1</xdr:row>
      <xdr:rowOff>169540</xdr:rowOff>
    </xdr:from>
    <xdr:to>
      <xdr:col>138</xdr:col>
      <xdr:colOff>318207</xdr:colOff>
      <xdr:row>7</xdr:row>
      <xdr:rowOff>106660</xdr:rowOff>
    </xdr:to>
    <xdr:sp macro="" textlink="">
      <xdr:nvSpPr>
        <xdr:cNvPr id="43" name="Rectangle 42"/>
        <xdr:cNvSpPr/>
      </xdr:nvSpPr>
      <xdr:spPr>
        <a:xfrm>
          <a:off x="12832282" y="360040"/>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GBP   </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132</xdr:col>
      <xdr:colOff>175712</xdr:colOff>
      <xdr:row>1</xdr:row>
      <xdr:rowOff>169540</xdr:rowOff>
    </xdr:from>
    <xdr:to>
      <xdr:col>134</xdr:col>
      <xdr:colOff>463237</xdr:colOff>
      <xdr:row>7</xdr:row>
      <xdr:rowOff>106660</xdr:rowOff>
    </xdr:to>
    <xdr:sp macro="" textlink="">
      <xdr:nvSpPr>
        <xdr:cNvPr id="44" name="Rectangle 43"/>
        <xdr:cNvSpPr/>
      </xdr:nvSpPr>
      <xdr:spPr>
        <a:xfrm>
          <a:off x="10538912" y="360040"/>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134</xdr:col>
      <xdr:colOff>103197</xdr:colOff>
      <xdr:row>16</xdr:row>
      <xdr:rowOff>120352</xdr:rowOff>
    </xdr:from>
    <xdr:to>
      <xdr:col>136</xdr:col>
      <xdr:colOff>390722</xdr:colOff>
      <xdr:row>22</xdr:row>
      <xdr:rowOff>57472</xdr:rowOff>
    </xdr:to>
    <xdr:sp macro="" textlink="">
      <xdr:nvSpPr>
        <xdr:cNvPr id="45" name="Rectangle 44"/>
        <xdr:cNvSpPr/>
      </xdr:nvSpPr>
      <xdr:spPr>
        <a:xfrm>
          <a:off x="11685597" y="3168352"/>
          <a:ext cx="1506725"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endParaRPr lang="en-GB" sz="2000" b="1" i="1" baseline="-25000">
            <a:solidFill>
              <a:schemeClr val="tx1"/>
            </a:solidFill>
            <a:latin typeface="Times New Roman" pitchFamily="18" charset="0"/>
            <a:cs typeface="Times New Roman" pitchFamily="18" charset="0"/>
          </a:endParaRPr>
        </a:p>
      </xdr:txBody>
    </xdr:sp>
    <xdr:clientData/>
  </xdr:twoCellAnchor>
  <xdr:twoCellAnchor>
    <xdr:from>
      <xdr:col>135</xdr:col>
      <xdr:colOff>66939</xdr:colOff>
      <xdr:row>7</xdr:row>
      <xdr:rowOff>34652</xdr:rowOff>
    </xdr:from>
    <xdr:to>
      <xdr:col>137</xdr:col>
      <xdr:colOff>354465</xdr:colOff>
      <xdr:row>12</xdr:row>
      <xdr:rowOff>162272</xdr:rowOff>
    </xdr:to>
    <xdr:sp macro="" textlink="">
      <xdr:nvSpPr>
        <xdr:cNvPr id="46" name="Rectangle 45"/>
        <xdr:cNvSpPr/>
      </xdr:nvSpPr>
      <xdr:spPr>
        <a:xfrm>
          <a:off x="12258939" y="1368152"/>
          <a:ext cx="1506726" cy="1080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p>
        <a:p>
          <a:pPr algn="ctr"/>
          <a:r>
            <a:rPr lang="en-GB" sz="2000" b="1" i="1">
              <a:solidFill>
                <a:schemeClr val="tx1"/>
              </a:solidFill>
              <a:latin typeface="Times New Roman" pitchFamily="18" charset="0"/>
              <a:cs typeface="Times New Roman" pitchFamily="18" charset="0"/>
            </a:rPr>
            <a:t>total</a:t>
          </a:r>
        </a:p>
      </xdr:txBody>
    </xdr:sp>
    <xdr:clientData/>
  </xdr:twoCellAnchor>
  <xdr:twoCellAnchor>
    <xdr:from>
      <xdr:col>119</xdr:col>
      <xdr:colOff>359026</xdr:colOff>
      <xdr:row>9</xdr:row>
      <xdr:rowOff>85700</xdr:rowOff>
    </xdr:from>
    <xdr:to>
      <xdr:col>122</xdr:col>
      <xdr:colOff>34230</xdr:colOff>
      <xdr:row>13</xdr:row>
      <xdr:rowOff>115700</xdr:rowOff>
    </xdr:to>
    <xdr:sp macro="" textlink="">
      <xdr:nvSpPr>
        <xdr:cNvPr id="47" name="Rectangle 46"/>
        <xdr:cNvSpPr/>
      </xdr:nvSpPr>
      <xdr:spPr>
        <a:xfrm>
          <a:off x="2797426" y="1800200"/>
          <a:ext cx="1504004"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p>
        <a:p>
          <a:pPr algn="ctr"/>
          <a:r>
            <a:rPr lang="en-GB" sz="2000" b="1" i="1">
              <a:solidFill>
                <a:schemeClr val="tx1"/>
              </a:solidFill>
              <a:latin typeface="Times New Roman" pitchFamily="18" charset="0"/>
              <a:cs typeface="Times New Roman" pitchFamily="18" charset="0"/>
            </a:rPr>
            <a:t>heating</a:t>
          </a:r>
        </a:p>
      </xdr:txBody>
    </xdr:sp>
    <xdr:clientData/>
  </xdr:twoCellAnchor>
  <xdr:twoCellAnchor>
    <xdr:from>
      <xdr:col>126</xdr:col>
      <xdr:colOff>537272</xdr:colOff>
      <xdr:row>9</xdr:row>
      <xdr:rowOff>85700</xdr:rowOff>
    </xdr:from>
    <xdr:to>
      <xdr:col>129</xdr:col>
      <xdr:colOff>356492</xdr:colOff>
      <xdr:row>13</xdr:row>
      <xdr:rowOff>115700</xdr:rowOff>
    </xdr:to>
    <xdr:sp macro="" textlink="">
      <xdr:nvSpPr>
        <xdr:cNvPr id="48" name="Rectangle 47"/>
        <xdr:cNvSpPr/>
      </xdr:nvSpPr>
      <xdr:spPr>
        <a:xfrm>
          <a:off x="7242872" y="1800200"/>
          <a:ext cx="1648020"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p>
        <a:p>
          <a:pPr algn="ctr"/>
          <a:r>
            <a:rPr lang="en-GB" sz="2000" b="1" i="1">
              <a:solidFill>
                <a:schemeClr val="tx1"/>
              </a:solidFill>
              <a:latin typeface="Times New Roman" pitchFamily="18" charset="0"/>
              <a:cs typeface="Times New Roman" pitchFamily="18" charset="0"/>
            </a:rPr>
            <a:t>separation</a:t>
          </a:r>
        </a:p>
      </xdr:txBody>
    </xdr:sp>
    <xdr:clientData/>
  </xdr:twoCellAnchor>
  <xdr:twoCellAnchor>
    <xdr:from>
      <xdr:col>123</xdr:col>
      <xdr:colOff>213997</xdr:colOff>
      <xdr:row>14</xdr:row>
      <xdr:rowOff>119710</xdr:rowOff>
    </xdr:from>
    <xdr:to>
      <xdr:col>125</xdr:col>
      <xdr:colOff>553354</xdr:colOff>
      <xdr:row>18</xdr:row>
      <xdr:rowOff>149798</xdr:rowOff>
    </xdr:to>
    <xdr:sp macro="" textlink="">
      <xdr:nvSpPr>
        <xdr:cNvPr id="49" name="Rectangle 48"/>
        <xdr:cNvSpPr/>
      </xdr:nvSpPr>
      <xdr:spPr>
        <a:xfrm>
          <a:off x="5090797" y="2786710"/>
          <a:ext cx="1558557" cy="792088"/>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Extractive fermentation</a:t>
          </a:r>
        </a:p>
      </xdr:txBody>
    </xdr:sp>
    <xdr:clientData/>
  </xdr:twoCellAnchor>
  <xdr:twoCellAnchor>
    <xdr:from>
      <xdr:col>115</xdr:col>
      <xdr:colOff>433389</xdr:colOff>
      <xdr:row>3</xdr:row>
      <xdr:rowOff>119062</xdr:rowOff>
    </xdr:from>
    <xdr:to>
      <xdr:col>120</xdr:col>
      <xdr:colOff>467782</xdr:colOff>
      <xdr:row>7</xdr:row>
      <xdr:rowOff>287421</xdr:rowOff>
    </xdr:to>
    <xdr:sp macro="" textlink="">
      <xdr:nvSpPr>
        <xdr:cNvPr id="50" name="Rectangle 49"/>
        <xdr:cNvSpPr/>
      </xdr:nvSpPr>
      <xdr:spPr>
        <a:xfrm>
          <a:off x="93378339" y="1128712"/>
          <a:ext cx="3082393" cy="26448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24000"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r>
            <a:rPr lang="en-GB" sz="2000" u="sng">
              <a:solidFill>
                <a:schemeClr val="tx1"/>
              </a:solidFill>
              <a:latin typeface="Times New Roman" pitchFamily="18" charset="0"/>
              <a:cs typeface="Times New Roman" pitchFamily="18" charset="0"/>
            </a:rPr>
            <a:t>Net Energy Ratio</a:t>
          </a:r>
        </a:p>
        <a:p>
          <a:endParaRPr lang="en-GB" sz="2000">
            <a:solidFill>
              <a:schemeClr val="tx1"/>
            </a:solidFill>
            <a:latin typeface="Times New Roman" pitchFamily="18" charset="0"/>
            <a:cs typeface="Times New Roman" pitchFamily="18" charset="0"/>
          </a:endParaRPr>
        </a:p>
        <a:p>
          <a:r>
            <a:rPr lang="en-GB" sz="2000">
              <a:solidFill>
                <a:schemeClr val="tx1"/>
              </a:solidFill>
              <a:latin typeface="Times New Roman" pitchFamily="18" charset="0"/>
              <a:cs typeface="Times New Roman" pitchFamily="18" charset="0"/>
            </a:rPr>
            <a:t>NER = </a:t>
          </a:r>
          <a:r>
            <a:rPr lang="en-GB" sz="2000" u="sng">
              <a:solidFill>
                <a:schemeClr val="tx1"/>
              </a:solidFill>
              <a:latin typeface="Times New Roman" pitchFamily="18" charset="0"/>
              <a:cs typeface="Times New Roman" pitchFamily="18" charset="0"/>
            </a:rPr>
            <a:t>     kWh</a:t>
          </a:r>
          <a:r>
            <a:rPr lang="en-GB" sz="2000">
              <a:solidFill>
                <a:schemeClr val="tx1"/>
              </a:solidFill>
              <a:latin typeface="Times New Roman" pitchFamily="18" charset="0"/>
              <a:cs typeface="Times New Roman" pitchFamily="18" charset="0"/>
            </a:rPr>
            <a:t> = </a:t>
          </a:r>
        </a:p>
        <a:p>
          <a:r>
            <a:rPr lang="en-GB" sz="2000">
              <a:solidFill>
                <a:schemeClr val="tx1"/>
              </a:solidFill>
              <a:latin typeface="Times New Roman" pitchFamily="18" charset="0"/>
              <a:cs typeface="Times New Roman" pitchFamily="18" charset="0"/>
            </a:rPr>
            <a:t>            </a:t>
          </a:r>
          <a:r>
            <a:rPr lang="en-GB" sz="2000" baseline="0">
              <a:solidFill>
                <a:schemeClr val="tx1"/>
              </a:solidFill>
              <a:latin typeface="Times New Roman" pitchFamily="18" charset="0"/>
              <a:cs typeface="Times New Roman" pitchFamily="18" charset="0"/>
            </a:rPr>
            <a:t>    </a:t>
          </a:r>
          <a:r>
            <a:rPr lang="en-GB" sz="2000">
              <a:solidFill>
                <a:schemeClr val="tx1"/>
              </a:solidFill>
              <a:latin typeface="Times New Roman" pitchFamily="18" charset="0"/>
              <a:cs typeface="Times New Roman" pitchFamily="18" charset="0"/>
            </a:rPr>
            <a:t> kWh</a:t>
          </a:r>
        </a:p>
      </xdr:txBody>
    </xdr:sp>
    <xdr:clientData/>
  </xdr:twoCellAnchor>
  <xdr:twoCellAnchor>
    <xdr:from>
      <xdr:col>127</xdr:col>
      <xdr:colOff>68269</xdr:colOff>
      <xdr:row>18</xdr:row>
      <xdr:rowOff>150592</xdr:rowOff>
    </xdr:from>
    <xdr:to>
      <xdr:col>127</xdr:col>
      <xdr:colOff>69857</xdr:colOff>
      <xdr:row>20</xdr:row>
      <xdr:rowOff>79226</xdr:rowOff>
    </xdr:to>
    <xdr:cxnSp macro="">
      <xdr:nvCxnSpPr>
        <xdr:cNvPr id="51" name="Elbow Connector 38"/>
        <xdr:cNvCxnSpPr>
          <a:stCxn id="64" idx="2"/>
          <a:endCxn id="58" idx="0"/>
        </xdr:cNvCxnSpPr>
      </xdr:nvCxnSpPr>
      <xdr:spPr>
        <a:xfrm rot="5400000">
          <a:off x="7229446" y="3733615"/>
          <a:ext cx="309634" cy="15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208344</xdr:colOff>
      <xdr:row>21</xdr:row>
      <xdr:rowOff>175964</xdr:rowOff>
    </xdr:from>
    <xdr:to>
      <xdr:col>118</xdr:col>
      <xdr:colOff>423861</xdr:colOff>
      <xdr:row>25</xdr:row>
      <xdr:rowOff>133964</xdr:rowOff>
    </xdr:to>
    <xdr:sp macro="" textlink="">
      <xdr:nvSpPr>
        <xdr:cNvPr id="52" name="Rectangle 51"/>
        <xdr:cNvSpPr/>
      </xdr:nvSpPr>
      <xdr:spPr>
        <a:xfrm>
          <a:off x="817944" y="4176464"/>
          <a:ext cx="1434717" cy="72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Gate fee</a:t>
          </a:r>
        </a:p>
        <a:p>
          <a:pPr algn="ctr"/>
          <a:r>
            <a:rPr lang="en-GB" sz="2000" b="1" i="1">
              <a:solidFill>
                <a:schemeClr val="tx1"/>
              </a:solidFill>
              <a:latin typeface="Times New Roman" pitchFamily="18" charset="0"/>
              <a:cs typeface="Times New Roman" pitchFamily="18" charset="0"/>
            </a:rPr>
            <a:t>GBP 50-90 </a:t>
          </a:r>
        </a:p>
      </xdr:txBody>
    </xdr:sp>
    <xdr:clientData/>
  </xdr:twoCellAnchor>
  <xdr:twoCellAnchor>
    <xdr:from>
      <xdr:col>117</xdr:col>
      <xdr:colOff>315308</xdr:colOff>
      <xdr:row>20</xdr:row>
      <xdr:rowOff>79226</xdr:rowOff>
    </xdr:from>
    <xdr:to>
      <xdr:col>117</xdr:col>
      <xdr:colOff>316896</xdr:colOff>
      <xdr:row>21</xdr:row>
      <xdr:rowOff>176758</xdr:rowOff>
    </xdr:to>
    <xdr:cxnSp macro="">
      <xdr:nvCxnSpPr>
        <xdr:cNvPr id="53" name="Elbow Connector 52"/>
        <xdr:cNvCxnSpPr>
          <a:stCxn id="36" idx="2"/>
          <a:endCxn id="52" idx="0"/>
        </xdr:cNvCxnSpPr>
      </xdr:nvCxnSpPr>
      <xdr:spPr>
        <a:xfrm rot="5400000">
          <a:off x="1391286" y="4032448"/>
          <a:ext cx="288032" cy="1588"/>
        </a:xfrm>
        <a:prstGeom prst="bentConnector3">
          <a:avLst>
            <a:gd name="adj1" fmla="val 50000"/>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69064</xdr:colOff>
      <xdr:row>9</xdr:row>
      <xdr:rowOff>157707</xdr:rowOff>
    </xdr:from>
    <xdr:to>
      <xdr:col>133</xdr:col>
      <xdr:colOff>355478</xdr:colOff>
      <xdr:row>14</xdr:row>
      <xdr:rowOff>119796</xdr:rowOff>
    </xdr:to>
    <xdr:cxnSp macro="">
      <xdr:nvCxnSpPr>
        <xdr:cNvPr id="54" name="Elbow Connector 38"/>
        <xdr:cNvCxnSpPr>
          <a:stCxn id="29" idx="1"/>
          <a:endCxn id="65" idx="3"/>
        </xdr:cNvCxnSpPr>
      </xdr:nvCxnSpPr>
      <xdr:spPr>
        <a:xfrm rot="10800000" flipV="1">
          <a:off x="7384264" y="1872207"/>
          <a:ext cx="3944014" cy="914589"/>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552450</xdr:colOff>
      <xdr:row>16</xdr:row>
      <xdr:rowOff>47625</xdr:rowOff>
    </xdr:from>
    <xdr:to>
      <xdr:col>126</xdr:col>
      <xdr:colOff>266700</xdr:colOff>
      <xdr:row>17</xdr:row>
      <xdr:rowOff>0</xdr:rowOff>
    </xdr:to>
    <xdr:grpSp>
      <xdr:nvGrpSpPr>
        <xdr:cNvPr id="40964" name="Group 54"/>
        <xdr:cNvGrpSpPr>
          <a:grpSpLocks/>
        </xdr:cNvGrpSpPr>
      </xdr:nvGrpSpPr>
      <xdr:grpSpPr bwMode="auto">
        <a:xfrm>
          <a:off x="99564825" y="8524875"/>
          <a:ext cx="321469" cy="214313"/>
          <a:chOff x="14884346" y="9794876"/>
          <a:chExt cx="813600" cy="144016"/>
        </a:xfrm>
      </xdr:grpSpPr>
      <xdr:cxnSp macro="">
        <xdr:nvCxnSpPr>
          <xdr:cNvPr id="56" name="Elbow Connector 21"/>
          <xdr:cNvCxnSpPr/>
        </xdr:nvCxnSpPr>
        <xdr:spPr>
          <a:xfrm>
            <a:off x="14884346" y="9938892"/>
            <a:ext cx="813600" cy="0"/>
          </a:xfrm>
          <a:prstGeom prst="straightConnector1">
            <a:avLst/>
          </a:prstGeom>
          <a:ln w="28575">
            <a:solidFill>
              <a:schemeClr val="tx1"/>
            </a:solidFill>
            <a:tailEnd type="triangle" w="lg" len="med"/>
          </a:ln>
        </xdr:spPr>
        <xdr:style>
          <a:lnRef idx="1">
            <a:schemeClr val="dk1"/>
          </a:lnRef>
          <a:fillRef idx="0">
            <a:schemeClr val="dk1"/>
          </a:fillRef>
          <a:effectRef idx="0">
            <a:schemeClr val="dk1"/>
          </a:effectRef>
          <a:fontRef idx="minor">
            <a:schemeClr val="tx1"/>
          </a:fontRef>
        </xdr:style>
      </xdr:cxnSp>
      <xdr:cxnSp macro="">
        <xdr:nvCxnSpPr>
          <xdr:cNvPr id="57" name="Elbow Connector 21"/>
          <xdr:cNvCxnSpPr/>
        </xdr:nvCxnSpPr>
        <xdr:spPr>
          <a:xfrm rot="10800000">
            <a:off x="14884346" y="9794876"/>
            <a:ext cx="813600" cy="0"/>
          </a:xfrm>
          <a:prstGeom prst="straightConnector1">
            <a:avLst/>
          </a:prstGeom>
          <a:ln w="28575">
            <a:solidFill>
              <a:schemeClr val="tx1"/>
            </a:solidFill>
            <a:tailEnd type="triangle" w="lg"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125</xdr:col>
      <xdr:colOff>429706</xdr:colOff>
      <xdr:row>20</xdr:row>
      <xdr:rowOff>78432</xdr:rowOff>
    </xdr:from>
    <xdr:to>
      <xdr:col>128</xdr:col>
      <xdr:colOff>320741</xdr:colOff>
      <xdr:row>23</xdr:row>
      <xdr:rowOff>10988</xdr:rowOff>
    </xdr:to>
    <xdr:sp macro="" textlink="">
      <xdr:nvSpPr>
        <xdr:cNvPr id="58" name="Rectangle 57"/>
        <xdr:cNvSpPr/>
      </xdr:nvSpPr>
      <xdr:spPr>
        <a:xfrm>
          <a:off x="6525706" y="3888432"/>
          <a:ext cx="1719835" cy="504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a:solidFill>
                <a:schemeClr val="tx1"/>
              </a:solidFill>
              <a:latin typeface="Times New Roman" pitchFamily="18" charset="0"/>
              <a:cs typeface="Times New Roman" pitchFamily="18" charset="0"/>
            </a:rPr>
            <a:t>Electrolytic H</a:t>
          </a:r>
          <a:r>
            <a:rPr lang="en-GB" sz="2000" baseline="-25000">
              <a:solidFill>
                <a:schemeClr val="tx1"/>
              </a:solidFill>
              <a:latin typeface="Times New Roman" pitchFamily="18" charset="0"/>
              <a:cs typeface="Times New Roman" pitchFamily="18" charset="0"/>
            </a:rPr>
            <a:t>2</a:t>
          </a:r>
          <a:endParaRPr lang="en-GB" sz="2000">
            <a:solidFill>
              <a:schemeClr val="tx1"/>
            </a:solidFill>
            <a:latin typeface="Times New Roman" pitchFamily="18" charset="0"/>
            <a:cs typeface="Times New Roman" pitchFamily="18" charset="0"/>
          </a:endParaRPr>
        </a:p>
        <a:p>
          <a:pPr algn="ctr"/>
          <a:r>
            <a:rPr lang="en-GB" sz="2000">
              <a:solidFill>
                <a:schemeClr val="tx1"/>
              </a:solidFill>
              <a:latin typeface="Times New Roman" pitchFamily="18" charset="0"/>
              <a:cs typeface="Times New Roman" pitchFamily="18" charset="0"/>
            </a:rPr>
            <a:t>(not included)</a:t>
          </a:r>
          <a:r>
            <a:rPr lang="en-GB" sz="2000" baseline="30000">
              <a:solidFill>
                <a:schemeClr val="tx1"/>
              </a:solidFill>
              <a:latin typeface="Times New Roman" pitchFamily="18" charset="0"/>
              <a:cs typeface="Times New Roman" pitchFamily="18" charset="0"/>
            </a:rPr>
            <a:t>d</a:t>
          </a:r>
        </a:p>
      </xdr:txBody>
    </xdr:sp>
    <xdr:clientData/>
  </xdr:twoCellAnchor>
  <xdr:twoCellAnchor>
    <xdr:from>
      <xdr:col>131</xdr:col>
      <xdr:colOff>391988</xdr:colOff>
      <xdr:row>9</xdr:row>
      <xdr:rowOff>157708</xdr:rowOff>
    </xdr:from>
    <xdr:to>
      <xdr:col>133</xdr:col>
      <xdr:colOff>355477</xdr:colOff>
      <xdr:row>14</xdr:row>
      <xdr:rowOff>119710</xdr:rowOff>
    </xdr:to>
    <xdr:cxnSp macro="">
      <xdr:nvCxnSpPr>
        <xdr:cNvPr id="59" name="Elbow Connector 38"/>
        <xdr:cNvCxnSpPr>
          <a:stCxn id="29" idx="1"/>
          <a:endCxn id="5" idx="0"/>
        </xdr:cNvCxnSpPr>
      </xdr:nvCxnSpPr>
      <xdr:spPr>
        <a:xfrm rot="10800000" flipV="1">
          <a:off x="10145588" y="1872208"/>
          <a:ext cx="1182689" cy="914502"/>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131</xdr:col>
      <xdr:colOff>355985</xdr:colOff>
      <xdr:row>9</xdr:row>
      <xdr:rowOff>85700</xdr:rowOff>
    </xdr:from>
    <xdr:to>
      <xdr:col>133</xdr:col>
      <xdr:colOff>355478</xdr:colOff>
      <xdr:row>13</xdr:row>
      <xdr:rowOff>115700</xdr:rowOff>
    </xdr:to>
    <xdr:sp macro="" textlink="">
      <xdr:nvSpPr>
        <xdr:cNvPr id="60" name="Rectangle 59"/>
        <xdr:cNvSpPr/>
      </xdr:nvSpPr>
      <xdr:spPr>
        <a:xfrm>
          <a:off x="10109585" y="1800200"/>
          <a:ext cx="1218693" cy="79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pPr algn="ctr"/>
          <a:r>
            <a:rPr lang="en-GB" sz="2000" b="1" i="1">
              <a:solidFill>
                <a:schemeClr val="tx1"/>
              </a:solidFill>
              <a:latin typeface="Times New Roman" pitchFamily="18" charset="0"/>
              <a:cs typeface="Times New Roman" pitchFamily="18" charset="0"/>
            </a:rPr>
            <a:t>     kWh</a:t>
          </a:r>
        </a:p>
        <a:p>
          <a:pPr algn="ctr"/>
          <a:r>
            <a:rPr lang="en-GB" sz="2000" b="1" i="1">
              <a:solidFill>
                <a:schemeClr val="tx1"/>
              </a:solidFill>
              <a:latin typeface="Times New Roman" pitchFamily="18" charset="0"/>
              <a:cs typeface="Times New Roman" pitchFamily="18" charset="0"/>
            </a:rPr>
            <a:t>mixing</a:t>
          </a:r>
        </a:p>
      </xdr:txBody>
    </xdr:sp>
    <xdr:clientData/>
  </xdr:twoCellAnchor>
  <xdr:twoCellAnchor>
    <xdr:from>
      <xdr:col>126</xdr:col>
      <xdr:colOff>285750</xdr:colOff>
      <xdr:row>14</xdr:row>
      <xdr:rowOff>123825</xdr:rowOff>
    </xdr:from>
    <xdr:to>
      <xdr:col>127</xdr:col>
      <xdr:colOff>466725</xdr:colOff>
      <xdr:row>18</xdr:row>
      <xdr:rowOff>152400</xdr:rowOff>
    </xdr:to>
    <xdr:grpSp>
      <xdr:nvGrpSpPr>
        <xdr:cNvPr id="40968" name="Group 58"/>
        <xdr:cNvGrpSpPr>
          <a:grpSpLocks/>
        </xdr:cNvGrpSpPr>
      </xdr:nvGrpSpPr>
      <xdr:grpSpPr bwMode="auto">
        <a:xfrm>
          <a:off x="99905344" y="7553325"/>
          <a:ext cx="788194" cy="1612106"/>
          <a:chOff x="15446056" y="9555662"/>
          <a:chExt cx="792000" cy="792088"/>
        </a:xfrm>
      </xdr:grpSpPr>
      <xdr:grpSp>
        <xdr:nvGrpSpPr>
          <xdr:cNvPr id="40973" name="Group 61"/>
          <xdr:cNvGrpSpPr>
            <a:grpSpLocks/>
          </xdr:cNvGrpSpPr>
        </xdr:nvGrpSpPr>
        <xdr:grpSpPr bwMode="auto">
          <a:xfrm>
            <a:off x="15446056" y="9555662"/>
            <a:ext cx="792000" cy="792088"/>
            <a:chOff x="15697946" y="9555662"/>
            <a:chExt cx="792000" cy="792088"/>
          </a:xfrm>
        </xdr:grpSpPr>
        <xdr:sp macro="" textlink="">
          <xdr:nvSpPr>
            <xdr:cNvPr id="64" name="Rectangle 63"/>
            <xdr:cNvSpPr/>
          </xdr:nvSpPr>
          <xdr:spPr>
            <a:xfrm>
              <a:off x="15697946" y="9555662"/>
              <a:ext cx="792000" cy="792088"/>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GB"/>
            </a:p>
          </xdr:txBody>
        </xdr:sp>
        <xdr:sp macro="" textlink="">
          <xdr:nvSpPr>
            <xdr:cNvPr id="65" name="Right Triangle 64"/>
            <xdr:cNvSpPr/>
          </xdr:nvSpPr>
          <xdr:spPr>
            <a:xfrm rot="10800000">
              <a:off x="15697946" y="9555662"/>
              <a:ext cx="792000" cy="792088"/>
            </a:xfrm>
            <a:prstGeom prst="rtTriangl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GB"/>
            </a:p>
          </xdr:txBody>
        </xdr:sp>
      </xdr:grpSp>
      <xdr:sp macro="" textlink="">
        <xdr:nvSpPr>
          <xdr:cNvPr id="63" name="Rectangle 62"/>
          <xdr:cNvSpPr/>
        </xdr:nvSpPr>
        <xdr:spPr>
          <a:xfrm>
            <a:off x="15446056" y="9555662"/>
            <a:ext cx="792000" cy="792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GB"/>
          </a:p>
        </xdr:txBody>
      </xdr:sp>
    </xdr:grpSp>
    <xdr:clientData/>
  </xdr:twoCellAnchor>
  <xdr:twoCellAnchor>
    <xdr:from>
      <xdr:col>115</xdr:col>
      <xdr:colOff>142875</xdr:colOff>
      <xdr:row>26</xdr:row>
      <xdr:rowOff>80946</xdr:rowOff>
    </xdr:from>
    <xdr:to>
      <xdr:col>121</xdr:col>
      <xdr:colOff>154780</xdr:colOff>
      <xdr:row>31</xdr:row>
      <xdr:rowOff>208566</xdr:rowOff>
    </xdr:to>
    <xdr:sp macro="" textlink="">
      <xdr:nvSpPr>
        <xdr:cNvPr id="66" name="Rectangle 65"/>
        <xdr:cNvSpPr/>
      </xdr:nvSpPr>
      <xdr:spPr>
        <a:xfrm>
          <a:off x="93170375" y="11966029"/>
          <a:ext cx="3694905" cy="1418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80000" rtlCol="0" anchor="ctr"/>
        <a:lstStyle>
          <a:defPPr>
            <a:defRPr lang="en-US"/>
          </a:defPPr>
          <a:lvl1pPr marL="0" algn="l" defTabSz="3291840" rtl="0" eaLnBrk="1" latinLnBrk="0" hangingPunct="1">
            <a:defRPr sz="6500" kern="1200">
              <a:solidFill>
                <a:schemeClr val="lt1"/>
              </a:solidFill>
              <a:latin typeface="+mn-lt"/>
              <a:ea typeface="+mn-ea"/>
              <a:cs typeface="+mn-cs"/>
            </a:defRPr>
          </a:lvl1pPr>
          <a:lvl2pPr marL="1645920" algn="l" defTabSz="3291840" rtl="0" eaLnBrk="1" latinLnBrk="0" hangingPunct="1">
            <a:defRPr sz="6500" kern="1200">
              <a:solidFill>
                <a:schemeClr val="lt1"/>
              </a:solidFill>
              <a:latin typeface="+mn-lt"/>
              <a:ea typeface="+mn-ea"/>
              <a:cs typeface="+mn-cs"/>
            </a:defRPr>
          </a:lvl2pPr>
          <a:lvl3pPr marL="3291840" algn="l" defTabSz="3291840" rtl="0" eaLnBrk="1" latinLnBrk="0" hangingPunct="1">
            <a:defRPr sz="6500" kern="1200">
              <a:solidFill>
                <a:schemeClr val="lt1"/>
              </a:solidFill>
              <a:latin typeface="+mn-lt"/>
              <a:ea typeface="+mn-ea"/>
              <a:cs typeface="+mn-cs"/>
            </a:defRPr>
          </a:lvl3pPr>
          <a:lvl4pPr marL="4937760" algn="l" defTabSz="3291840" rtl="0" eaLnBrk="1" latinLnBrk="0" hangingPunct="1">
            <a:defRPr sz="6500" kern="1200">
              <a:solidFill>
                <a:schemeClr val="lt1"/>
              </a:solidFill>
              <a:latin typeface="+mn-lt"/>
              <a:ea typeface="+mn-ea"/>
              <a:cs typeface="+mn-cs"/>
            </a:defRPr>
          </a:lvl4pPr>
          <a:lvl5pPr marL="6583680" algn="l" defTabSz="3291840" rtl="0" eaLnBrk="1" latinLnBrk="0" hangingPunct="1">
            <a:defRPr sz="6500" kern="1200">
              <a:solidFill>
                <a:schemeClr val="lt1"/>
              </a:solidFill>
              <a:latin typeface="+mn-lt"/>
              <a:ea typeface="+mn-ea"/>
              <a:cs typeface="+mn-cs"/>
            </a:defRPr>
          </a:lvl5pPr>
          <a:lvl6pPr marL="8229600" algn="l" defTabSz="3291840" rtl="0" eaLnBrk="1" latinLnBrk="0" hangingPunct="1">
            <a:defRPr sz="6500" kern="1200">
              <a:solidFill>
                <a:schemeClr val="lt1"/>
              </a:solidFill>
              <a:latin typeface="+mn-lt"/>
              <a:ea typeface="+mn-ea"/>
              <a:cs typeface="+mn-cs"/>
            </a:defRPr>
          </a:lvl6pPr>
          <a:lvl7pPr marL="9875520" algn="l" defTabSz="3291840" rtl="0" eaLnBrk="1" latinLnBrk="0" hangingPunct="1">
            <a:defRPr sz="6500" kern="1200">
              <a:solidFill>
                <a:schemeClr val="lt1"/>
              </a:solidFill>
              <a:latin typeface="+mn-lt"/>
              <a:ea typeface="+mn-ea"/>
              <a:cs typeface="+mn-cs"/>
            </a:defRPr>
          </a:lvl7pPr>
          <a:lvl8pPr marL="11521440" algn="l" defTabSz="3291840" rtl="0" eaLnBrk="1" latinLnBrk="0" hangingPunct="1">
            <a:defRPr sz="6500" kern="1200">
              <a:solidFill>
                <a:schemeClr val="lt1"/>
              </a:solidFill>
              <a:latin typeface="+mn-lt"/>
              <a:ea typeface="+mn-ea"/>
              <a:cs typeface="+mn-cs"/>
            </a:defRPr>
          </a:lvl8pPr>
          <a:lvl9pPr marL="13167360" algn="l" defTabSz="3291840" rtl="0" eaLnBrk="1" latinLnBrk="0" hangingPunct="1">
            <a:defRPr sz="6500" kern="1200">
              <a:solidFill>
                <a:schemeClr val="lt1"/>
              </a:solidFill>
              <a:latin typeface="+mn-lt"/>
              <a:ea typeface="+mn-ea"/>
              <a:cs typeface="+mn-cs"/>
            </a:defRPr>
          </a:lvl9pPr>
        </a:lstStyle>
        <a:p>
          <a:r>
            <a:rPr lang="en-GB" sz="2000" u="sng">
              <a:solidFill>
                <a:schemeClr val="tx1"/>
              </a:solidFill>
              <a:latin typeface="Times New Roman" pitchFamily="18" charset="0"/>
              <a:cs typeface="Times New Roman" pitchFamily="18" charset="0"/>
            </a:rPr>
            <a:t>Total revenues</a:t>
          </a:r>
          <a:endParaRPr lang="en-GB" sz="2000">
            <a:solidFill>
              <a:schemeClr val="tx1"/>
            </a:solidFill>
            <a:latin typeface="Times New Roman" pitchFamily="18" charset="0"/>
            <a:cs typeface="Times New Roman" pitchFamily="18" charset="0"/>
          </a:endParaRPr>
        </a:p>
        <a:p>
          <a:r>
            <a:rPr lang="en-GB" sz="2000">
              <a:solidFill>
                <a:schemeClr val="tx1"/>
              </a:solidFill>
              <a:latin typeface="Times New Roman" pitchFamily="18" charset="0"/>
              <a:cs typeface="Times New Roman" pitchFamily="18" charset="0"/>
            </a:rPr>
            <a:t>Gate fee + Incentives + Exports 70 +     +          = GBP        /tonne</a:t>
          </a:r>
          <a:endParaRPr lang="en-GB" sz="2000" u="sng">
            <a:solidFill>
              <a:schemeClr val="tx1"/>
            </a:solidFill>
            <a:latin typeface="Times New Roman" pitchFamily="18" charset="0"/>
            <a:cs typeface="Times New Roman" pitchFamily="18" charset="0"/>
          </a:endParaRPr>
        </a:p>
      </xdr:txBody>
    </xdr:sp>
    <xdr:clientData/>
  </xdr:twoCellAnchor>
  <xdr:twoCellAnchor>
    <xdr:from>
      <xdr:col>127</xdr:col>
      <xdr:colOff>68967</xdr:colOff>
      <xdr:row>23</xdr:row>
      <xdr:rowOff>82996</xdr:rowOff>
    </xdr:from>
    <xdr:to>
      <xdr:col>127</xdr:col>
      <xdr:colOff>70555</xdr:colOff>
      <xdr:row>29</xdr:row>
      <xdr:rowOff>55996</xdr:rowOff>
    </xdr:to>
    <xdr:cxnSp macro="">
      <xdr:nvCxnSpPr>
        <xdr:cNvPr id="67" name="Elbow Connector 38"/>
        <xdr:cNvCxnSpPr/>
      </xdr:nvCxnSpPr>
      <xdr:spPr>
        <a:xfrm rot="5400000" flipV="1">
          <a:off x="6826961" y="5021702"/>
          <a:ext cx="1116000" cy="1588"/>
        </a:xfrm>
        <a:prstGeom prst="straightConnector1">
          <a:avLst/>
        </a:prstGeom>
        <a:ln w="19050">
          <a:solidFill>
            <a:schemeClr val="tx1"/>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380999</xdr:colOff>
      <xdr:row>22</xdr:row>
      <xdr:rowOff>40821</xdr:rowOff>
    </xdr:from>
    <xdr:to>
      <xdr:col>130</xdr:col>
      <xdr:colOff>517254</xdr:colOff>
      <xdr:row>29</xdr:row>
      <xdr:rowOff>69609</xdr:rowOff>
    </xdr:to>
    <xdr:cxnSp macro="">
      <xdr:nvCxnSpPr>
        <xdr:cNvPr id="73" name="Elbow Connector 38"/>
        <xdr:cNvCxnSpPr/>
      </xdr:nvCxnSpPr>
      <xdr:spPr>
        <a:xfrm rot="16200000" flipH="1">
          <a:off x="99936965" y="9287570"/>
          <a:ext cx="2001823" cy="3810183"/>
        </a:xfrm>
        <a:prstGeom prst="bentConnector2">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177</xdr:col>
      <xdr:colOff>323850</xdr:colOff>
      <xdr:row>1</xdr:row>
      <xdr:rowOff>190500</xdr:rowOff>
    </xdr:from>
    <xdr:to>
      <xdr:col>189</xdr:col>
      <xdr:colOff>57150</xdr:colOff>
      <xdr:row>4</xdr:row>
      <xdr:rowOff>514350</xdr:rowOff>
    </xdr:to>
    <xdr:pic>
      <xdr:nvPicPr>
        <xdr:cNvPr id="40972"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35550275" y="409575"/>
          <a:ext cx="6762750" cy="1781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jrc.ec.europa.eu/pvgi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B1:GQ37"/>
  <sheetViews>
    <sheetView tabSelected="1" topLeftCell="A2" zoomScale="80" zoomScaleNormal="80" zoomScaleSheetLayoutView="90" workbookViewId="0">
      <selection activeCell="GP5" sqref="GP5"/>
    </sheetView>
  </sheetViews>
  <sheetFormatPr defaultRowHeight="14.25"/>
  <cols>
    <col min="1" max="1" width="1.140625" style="173" customWidth="1"/>
    <col min="2" max="2" width="127.28515625" style="173" customWidth="1"/>
    <col min="3" max="3" width="1.85546875" style="173" customWidth="1"/>
    <col min="4" max="4" width="2.28515625" style="377" customWidth="1"/>
    <col min="5" max="5" width="23" style="173" customWidth="1"/>
    <col min="6" max="9" width="12.28515625" style="173" customWidth="1"/>
    <col min="10" max="10" width="3" style="173" customWidth="1"/>
    <col min="11" max="12" width="9.140625" style="173"/>
    <col min="13" max="13" width="12.42578125" style="173" customWidth="1"/>
    <col min="14" max="14" width="9.140625" style="173"/>
    <col min="15" max="15" width="3.5703125" style="173" customWidth="1"/>
    <col min="16" max="16" width="3.42578125" style="377" customWidth="1"/>
    <col min="17" max="17" width="3.28515625" style="173" customWidth="1"/>
    <col min="18" max="18" width="23" style="173" customWidth="1"/>
    <col min="19" max="25" width="18.28515625" style="173" customWidth="1"/>
    <col min="26" max="28" width="11" style="173" customWidth="1"/>
    <col min="29" max="29" width="11.5703125" style="173" bestFit="1" customWidth="1"/>
    <col min="30" max="31" width="9.140625" style="173"/>
    <col min="32" max="32" width="3.42578125" style="173" customWidth="1"/>
    <col min="33" max="33" width="12" style="173" customWidth="1"/>
    <col min="34" max="34" width="10" style="173" customWidth="1"/>
    <col min="35" max="35" width="3.28515625" style="173" customWidth="1"/>
    <col min="36" max="37" width="12" style="173" customWidth="1"/>
    <col min="38" max="38" width="3.5703125" style="173" customWidth="1"/>
    <col min="39" max="39" width="13" style="173" customWidth="1"/>
    <col min="40" max="40" width="13.5703125" style="173" customWidth="1"/>
    <col min="41" max="41" width="4" style="173" customWidth="1"/>
    <col min="42" max="43" width="13.42578125" style="173" customWidth="1"/>
    <col min="44" max="45" width="7.85546875" style="173" customWidth="1"/>
    <col min="46" max="46" width="2.85546875" style="173" customWidth="1"/>
    <col min="47" max="47" width="3.7109375" style="377" customWidth="1"/>
    <col min="48" max="48" width="3.7109375" style="173" customWidth="1"/>
    <col min="49" max="49" width="23" style="173" customWidth="1"/>
    <col min="50" max="50" width="18.28515625" style="173" customWidth="1"/>
    <col min="51" max="51" width="16.28515625" style="173" customWidth="1"/>
    <col min="52" max="52" width="23.85546875" style="173" customWidth="1"/>
    <col min="53" max="53" width="22.42578125" style="173" customWidth="1"/>
    <col min="54" max="54" width="17.140625" style="173" customWidth="1"/>
    <col min="55" max="55" width="13.7109375" style="173" customWidth="1"/>
    <col min="56" max="56" width="15" style="173" customWidth="1"/>
    <col min="57" max="57" width="12.140625" style="173" customWidth="1"/>
    <col min="58" max="58" width="11.7109375" style="173" bestFit="1" customWidth="1"/>
    <col min="59" max="59" width="10.42578125" style="173" bestFit="1" customWidth="1"/>
    <col min="60" max="61" width="15.140625" style="173" customWidth="1"/>
    <col min="62" max="62" width="10.7109375" style="173" customWidth="1"/>
    <col min="63" max="67" width="9.140625" style="173"/>
    <col min="68" max="68" width="4.42578125" style="173" customWidth="1"/>
    <col min="69" max="69" width="4.42578125" style="377" customWidth="1"/>
    <col min="70" max="70" width="4.42578125" style="173" customWidth="1"/>
    <col min="71" max="71" width="23.140625" style="173" customWidth="1"/>
    <col min="72" max="72" width="12.85546875" style="173" customWidth="1"/>
    <col min="73" max="73" width="13.42578125" style="173" customWidth="1"/>
    <col min="74" max="74" width="10.7109375" style="173" customWidth="1"/>
    <col min="75" max="76" width="9.42578125" style="173" customWidth="1"/>
    <col min="77" max="78" width="9.140625" style="173"/>
    <col min="79" max="79" width="11" style="173" customWidth="1"/>
    <col min="80" max="80" width="12.28515625" style="173" customWidth="1"/>
    <col min="81" max="81" width="4.28515625" style="173" customWidth="1"/>
    <col min="82" max="82" width="4.28515625" style="377" customWidth="1"/>
    <col min="83" max="83" width="4.28515625" style="173" customWidth="1"/>
    <col min="84" max="84" width="9.140625" style="173"/>
    <col min="85" max="85" width="27.28515625" style="173" customWidth="1"/>
    <col min="86" max="86" width="16" style="173" customWidth="1"/>
    <col min="87" max="87" width="3.140625" style="173" customWidth="1"/>
    <col min="88" max="88" width="10.42578125" style="173" customWidth="1"/>
    <col min="89" max="89" width="18.28515625" style="173" customWidth="1"/>
    <col min="90" max="90" width="27" style="173" customWidth="1"/>
    <col min="91" max="91" width="5.140625" style="173" customWidth="1"/>
    <col min="92" max="92" width="5.140625" style="381" customWidth="1"/>
    <col min="93" max="93" width="5.140625" style="173" customWidth="1"/>
    <col min="94" max="94" width="22.140625" style="173" customWidth="1"/>
    <col min="95" max="98" width="11" style="173" customWidth="1"/>
    <col min="99" max="99" width="9.140625" style="173"/>
    <col min="100" max="100" width="4.85546875" style="173" customWidth="1"/>
    <col min="101" max="101" width="4.85546875" style="377" customWidth="1"/>
    <col min="102" max="102" width="4.85546875" style="173" customWidth="1"/>
    <col min="103" max="103" width="29.5703125" style="173" customWidth="1"/>
    <col min="104" max="104" width="15.7109375" style="173" customWidth="1"/>
    <col min="105" max="105" width="10.7109375" style="173" bestFit="1" customWidth="1"/>
    <col min="106" max="106" width="9.42578125" style="173" bestFit="1" customWidth="1"/>
    <col min="107" max="107" width="6.7109375" style="173" customWidth="1"/>
    <col min="108" max="108" width="12.140625" style="173" customWidth="1"/>
    <col min="109" max="109" width="16.140625" style="173" customWidth="1"/>
    <col min="110" max="110" width="10.42578125" style="173" customWidth="1"/>
    <col min="111" max="111" width="10.85546875" style="173" customWidth="1"/>
    <col min="112" max="112" width="12.28515625" style="173" bestFit="1" customWidth="1"/>
    <col min="113" max="113" width="4.85546875" style="173" customWidth="1"/>
    <col min="114" max="114" width="4.85546875" style="377" customWidth="1"/>
    <col min="115" max="115" width="4.85546875" style="173" customWidth="1"/>
    <col min="116" max="139" width="9.140625" style="173"/>
    <col min="140" max="140" width="4.85546875" style="173" customWidth="1"/>
    <col min="141" max="141" width="4.85546875" style="377" customWidth="1"/>
    <col min="142" max="142" width="4.85546875" style="173" customWidth="1"/>
    <col min="143" max="143" width="23" style="173" customWidth="1"/>
    <col min="144" max="144" width="18.28515625" style="173" customWidth="1"/>
    <col min="145" max="145" width="16.28515625" style="173" customWidth="1"/>
    <col min="146" max="146" width="23.85546875" style="173" customWidth="1"/>
    <col min="147" max="147" width="22.42578125" style="173" customWidth="1"/>
    <col min="148" max="148" width="17.140625" style="173" customWidth="1"/>
    <col min="149" max="149" width="13.7109375" style="173" customWidth="1"/>
    <col min="150" max="150" width="15" style="173" customWidth="1"/>
    <col min="151" max="151" width="17" style="173" customWidth="1"/>
    <col min="152" max="152" width="11.7109375" style="173" bestFit="1" customWidth="1"/>
    <col min="153" max="153" width="10.42578125" style="173" bestFit="1" customWidth="1"/>
    <col min="154" max="155" width="15.140625" style="173" customWidth="1"/>
    <col min="156" max="156" width="4.5703125" style="173" customWidth="1"/>
    <col min="157" max="157" width="4.5703125" style="377" customWidth="1"/>
    <col min="158" max="158" width="4.5703125" style="173" customWidth="1"/>
    <col min="159" max="159" width="21.85546875" style="173" customWidth="1"/>
    <col min="160" max="161" width="0" style="173" hidden="1" customWidth="1"/>
    <col min="162" max="162" width="15.28515625" style="173" customWidth="1"/>
    <col min="163" max="163" width="0" style="173" hidden="1" customWidth="1"/>
    <col min="164" max="164" width="13.5703125" style="173" customWidth="1"/>
    <col min="165" max="165" width="11.7109375" style="173" customWidth="1"/>
    <col min="166" max="166" width="3.7109375" style="173" customWidth="1"/>
    <col min="167" max="167" width="18.28515625" style="173" customWidth="1"/>
    <col min="168" max="175" width="9.140625" style="173"/>
    <col min="176" max="176" width="4.85546875" style="173" customWidth="1"/>
    <col min="177" max="177" width="4.85546875" style="377" customWidth="1"/>
    <col min="178" max="178" width="4.85546875" style="173" customWidth="1"/>
    <col min="179" max="189" width="9.140625" style="173"/>
    <col min="190" max="190" width="9.140625" style="173" customWidth="1"/>
    <col min="191" max="191" width="8.42578125" style="173" customWidth="1"/>
    <col min="192" max="192" width="11.28515625" style="173" customWidth="1"/>
    <col min="193" max="193" width="13" style="173" customWidth="1"/>
    <col min="194" max="16384" width="9.140625" style="173"/>
  </cols>
  <sheetData>
    <row r="1" spans="2:199" ht="17.25" customHeight="1" thickBot="1">
      <c r="B1" s="378" t="s">
        <v>219</v>
      </c>
      <c r="E1" s="428" t="s">
        <v>202</v>
      </c>
      <c r="F1" s="428"/>
      <c r="G1" s="428"/>
      <c r="H1" s="428"/>
      <c r="I1" s="428"/>
      <c r="J1" s="428"/>
      <c r="K1" s="428"/>
      <c r="L1" s="428"/>
      <c r="M1" s="428"/>
      <c r="N1" s="428"/>
      <c r="R1" s="429" t="s">
        <v>220</v>
      </c>
      <c r="S1" s="429"/>
      <c r="T1" s="429"/>
      <c r="U1" s="429"/>
      <c r="V1" s="429"/>
      <c r="W1" s="429"/>
      <c r="X1" s="429"/>
      <c r="Y1" s="429"/>
      <c r="Z1" s="456"/>
      <c r="AA1" s="456"/>
      <c r="AB1" s="456"/>
      <c r="AC1" s="456"/>
      <c r="AD1" s="456"/>
      <c r="AE1" s="456"/>
      <c r="AF1" s="456"/>
      <c r="AG1" s="456"/>
      <c r="AH1" s="456"/>
      <c r="AI1" s="456"/>
      <c r="AJ1" s="456"/>
      <c r="AK1" s="456"/>
      <c r="AL1" s="456"/>
      <c r="AM1" s="456"/>
      <c r="AN1" s="456"/>
      <c r="AO1" s="456"/>
      <c r="AP1" s="456"/>
      <c r="AQ1" s="456"/>
      <c r="AR1" s="456"/>
      <c r="AS1" s="456"/>
      <c r="AW1" s="429" t="s">
        <v>221</v>
      </c>
      <c r="AX1" s="429"/>
      <c r="AY1" s="429"/>
      <c r="AZ1" s="429"/>
      <c r="BA1" s="429"/>
      <c r="BB1" s="429"/>
      <c r="BC1" s="429"/>
      <c r="BD1" s="429"/>
      <c r="BE1" s="429"/>
      <c r="BF1" s="429"/>
      <c r="BG1" s="429"/>
      <c r="BH1" s="429"/>
      <c r="BI1" s="429"/>
      <c r="BJ1" s="429"/>
      <c r="BK1" s="429"/>
      <c r="BL1" s="429"/>
      <c r="BM1" s="429"/>
      <c r="BN1" s="429"/>
      <c r="BO1" s="429"/>
      <c r="BS1" s="424" t="s">
        <v>190</v>
      </c>
      <c r="BT1" s="424"/>
      <c r="BU1" s="424"/>
      <c r="BV1" s="424"/>
      <c r="BW1" s="424"/>
      <c r="BX1" s="424"/>
      <c r="BY1" s="424"/>
      <c r="BZ1" s="424"/>
      <c r="CA1" s="424"/>
      <c r="CB1" s="424"/>
      <c r="CF1" s="424" t="s">
        <v>191</v>
      </c>
      <c r="CG1" s="424"/>
      <c r="CH1" s="424"/>
      <c r="CI1" s="424"/>
      <c r="CJ1" s="424"/>
      <c r="CK1" s="424"/>
      <c r="CL1" s="424"/>
      <c r="CP1" s="424" t="s">
        <v>231</v>
      </c>
      <c r="CQ1" s="424"/>
      <c r="CR1" s="424"/>
      <c r="CS1" s="424"/>
      <c r="CT1" s="424"/>
      <c r="CU1" s="424"/>
      <c r="CY1" s="439" t="s">
        <v>232</v>
      </c>
      <c r="CZ1" s="439"/>
      <c r="DA1" s="439"/>
      <c r="DB1" s="439"/>
      <c r="DC1" s="439"/>
      <c r="DD1" s="439"/>
      <c r="DE1" s="439"/>
      <c r="DF1" s="439"/>
      <c r="DG1" s="439"/>
      <c r="DH1" s="439"/>
      <c r="DL1" s="279"/>
      <c r="DM1" s="279"/>
      <c r="DN1" s="382"/>
      <c r="DO1" s="382"/>
      <c r="DP1" s="382"/>
      <c r="DQ1" s="382"/>
      <c r="DR1" s="438" t="s">
        <v>247</v>
      </c>
      <c r="DS1" s="438"/>
      <c r="DT1" s="438"/>
      <c r="DU1" s="438"/>
      <c r="DV1" s="438"/>
      <c r="DW1" s="438"/>
      <c r="DX1" s="438"/>
      <c r="DY1" s="438"/>
      <c r="DZ1" s="438"/>
      <c r="EA1" s="438"/>
      <c r="EB1" s="438"/>
      <c r="EC1" s="382"/>
      <c r="ED1" s="382"/>
      <c r="EE1" s="382"/>
      <c r="EF1" s="382"/>
      <c r="EG1" s="382"/>
      <c r="EH1" s="279"/>
      <c r="EI1" s="279"/>
      <c r="EM1" s="429" t="s">
        <v>233</v>
      </c>
      <c r="EN1" s="429"/>
      <c r="EO1" s="429"/>
      <c r="EP1" s="429"/>
      <c r="EQ1" s="429"/>
      <c r="ER1" s="429"/>
      <c r="ES1" s="429"/>
      <c r="ET1" s="429"/>
      <c r="EU1" s="429"/>
      <c r="EV1" s="429"/>
      <c r="EW1" s="429"/>
      <c r="EX1" s="429"/>
      <c r="EY1" s="429"/>
      <c r="FC1" s="424" t="s">
        <v>234</v>
      </c>
      <c r="FD1" s="424"/>
      <c r="FE1" s="424"/>
      <c r="FF1" s="424"/>
      <c r="FG1" s="424"/>
      <c r="FH1" s="424"/>
      <c r="FI1" s="424"/>
      <c r="FJ1" s="424"/>
      <c r="FK1" s="424"/>
      <c r="FL1" s="424"/>
      <c r="FM1" s="424"/>
      <c r="FN1" s="424"/>
      <c r="FO1" s="424"/>
      <c r="FP1" s="424"/>
      <c r="FQ1" s="424"/>
      <c r="FR1" s="424"/>
      <c r="FS1" s="424"/>
      <c r="FW1" s="424" t="s">
        <v>223</v>
      </c>
      <c r="FX1" s="424"/>
      <c r="FY1" s="424"/>
      <c r="FZ1" s="424"/>
      <c r="GA1" s="424"/>
      <c r="GB1" s="424"/>
      <c r="GC1" s="424"/>
      <c r="GD1" s="424"/>
      <c r="GE1" s="424"/>
      <c r="GF1" s="424"/>
      <c r="GG1" s="390"/>
      <c r="GH1"/>
      <c r="GI1"/>
      <c r="GJ1"/>
      <c r="GK1"/>
      <c r="GL1"/>
    </row>
    <row r="2" spans="2:199" ht="21" thickBot="1">
      <c r="B2" s="174" t="s">
        <v>121</v>
      </c>
      <c r="E2"/>
      <c r="F2"/>
      <c r="G2"/>
      <c r="H2"/>
      <c r="I2"/>
      <c r="J2"/>
      <c r="K2"/>
      <c r="L2"/>
      <c r="M2"/>
      <c r="N2"/>
      <c r="R2" s="168" t="s">
        <v>112</v>
      </c>
      <c r="S2" s="1"/>
      <c r="T2" s="1"/>
      <c r="U2" s="1"/>
      <c r="V2" s="1"/>
      <c r="W2" s="1"/>
      <c r="X2" s="1"/>
      <c r="Y2" s="1"/>
      <c r="Z2" s="1"/>
      <c r="AA2" s="1"/>
      <c r="AB2" s="1"/>
      <c r="AC2" s="1"/>
      <c r="AD2" s="1"/>
      <c r="AE2" s="1"/>
      <c r="AF2" s="1"/>
      <c r="AG2" s="1"/>
      <c r="AH2" s="1"/>
      <c r="AI2" s="1"/>
      <c r="AJ2" s="1"/>
      <c r="AK2" s="1"/>
      <c r="AL2" s="1"/>
      <c r="AM2" s="1"/>
      <c r="AN2" s="1"/>
      <c r="AO2" s="1"/>
      <c r="AP2" s="1"/>
      <c r="AQ2" s="1"/>
      <c r="AR2" s="1"/>
      <c r="AS2" s="1"/>
      <c r="AW2" s="168" t="s">
        <v>235</v>
      </c>
      <c r="AX2" s="1"/>
      <c r="AY2" s="1"/>
      <c r="AZ2" s="1"/>
      <c r="BA2" s="1"/>
      <c r="BB2" s="1"/>
      <c r="BC2" s="1"/>
      <c r="BD2" s="1"/>
      <c r="BE2" s="1"/>
      <c r="BF2" s="1"/>
      <c r="BG2" s="1"/>
      <c r="BH2" s="1"/>
      <c r="BI2" s="1"/>
      <c r="BJ2" s="1"/>
      <c r="BK2" s="1"/>
      <c r="BL2" s="1"/>
      <c r="BM2" s="1"/>
      <c r="BN2" s="1"/>
      <c r="BO2" s="1"/>
      <c r="BS2"/>
      <c r="BT2"/>
      <c r="BU2"/>
      <c r="BV2"/>
      <c r="BW2"/>
      <c r="BX2"/>
      <c r="BY2"/>
      <c r="BZ2"/>
      <c r="CA2"/>
      <c r="CB2"/>
      <c r="CF2" s="319"/>
      <c r="CG2" s="319"/>
      <c r="CH2" s="319"/>
      <c r="CI2" s="319"/>
      <c r="CJ2" s="319"/>
      <c r="CK2" s="319"/>
      <c r="CL2" s="319"/>
      <c r="CP2" s="209"/>
      <c r="CQ2"/>
      <c r="CR2"/>
      <c r="CS2"/>
      <c r="CT2"/>
      <c r="CU2"/>
      <c r="CY2" s="1"/>
      <c r="CZ2" s="1"/>
      <c r="DA2" s="1"/>
      <c r="DB2" s="1"/>
      <c r="DC2" s="1"/>
      <c r="DD2" s="1"/>
      <c r="DE2" s="1"/>
      <c r="DF2" s="1"/>
      <c r="DG2" s="1"/>
      <c r="DH2" s="1"/>
      <c r="DL2" s="279"/>
      <c r="DM2" s="279"/>
      <c r="DN2" s="382"/>
      <c r="DO2" s="382"/>
      <c r="DP2" s="382"/>
      <c r="DQ2" s="382"/>
      <c r="DR2" s="438"/>
      <c r="DS2" s="438"/>
      <c r="DT2" s="438"/>
      <c r="DU2" s="438"/>
      <c r="DV2" s="438"/>
      <c r="DW2" s="438"/>
      <c r="DX2" s="438"/>
      <c r="DY2" s="438"/>
      <c r="DZ2" s="438"/>
      <c r="EA2" s="438"/>
      <c r="EB2" s="438"/>
      <c r="EC2" s="382"/>
      <c r="ED2" s="382"/>
      <c r="EE2" s="382"/>
      <c r="EF2" s="382"/>
      <c r="EG2" s="382"/>
      <c r="EH2" s="279"/>
      <c r="EI2" s="279"/>
      <c r="EM2" s="302" t="s">
        <v>236</v>
      </c>
      <c r="EN2" s="1"/>
      <c r="EO2" s="1"/>
      <c r="EP2" s="1"/>
      <c r="EQ2" s="1"/>
      <c r="ER2" s="1"/>
      <c r="ES2" s="1"/>
      <c r="ET2" s="1"/>
      <c r="EU2" s="1"/>
      <c r="EV2" s="1"/>
      <c r="EW2" s="1"/>
      <c r="EX2" s="1"/>
      <c r="EY2" s="1"/>
      <c r="FC2"/>
      <c r="FD2"/>
      <c r="FE2"/>
      <c r="FF2"/>
      <c r="FG2"/>
      <c r="FH2"/>
      <c r="FI2"/>
      <c r="FJ2"/>
      <c r="FK2"/>
      <c r="FL2"/>
      <c r="FM2"/>
      <c r="FN2"/>
      <c r="FO2"/>
      <c r="FP2"/>
      <c r="FQ2"/>
      <c r="FR2"/>
      <c r="FS2"/>
      <c r="FW2" s="336"/>
      <c r="FX2" s="336"/>
      <c r="FY2" s="336"/>
      <c r="FZ2" s="336"/>
      <c r="GA2" s="336"/>
      <c r="GB2" s="336"/>
      <c r="GC2" s="336"/>
      <c r="GD2" s="336"/>
      <c r="GE2" s="336"/>
      <c r="GF2" s="336"/>
      <c r="GG2" s="390"/>
      <c r="GH2"/>
      <c r="GI2"/>
      <c r="GJ2"/>
      <c r="GK2"/>
      <c r="GL2"/>
    </row>
    <row r="3" spans="2:199" ht="41.25" thickBot="1">
      <c r="B3" s="175" t="s">
        <v>119</v>
      </c>
      <c r="E3" s="182" t="s">
        <v>0</v>
      </c>
      <c r="F3" s="425" t="s">
        <v>139</v>
      </c>
      <c r="G3" s="426"/>
      <c r="H3" s="426"/>
      <c r="I3" s="441"/>
      <c r="J3"/>
      <c r="K3" s="425" t="s">
        <v>200</v>
      </c>
      <c r="L3" s="426"/>
      <c r="M3" s="426"/>
      <c r="N3" s="441"/>
      <c r="R3" s="1"/>
      <c r="S3" s="1"/>
      <c r="T3" s="1"/>
      <c r="U3" s="1"/>
      <c r="V3" s="1"/>
      <c r="W3" s="1"/>
      <c r="X3" s="1"/>
      <c r="Y3" s="1"/>
      <c r="Z3" s="1"/>
      <c r="AA3" s="1"/>
      <c r="AB3" s="1"/>
      <c r="AC3" s="1"/>
      <c r="AD3" s="1"/>
      <c r="AE3" s="1"/>
      <c r="AF3" s="1"/>
      <c r="AG3" s="1"/>
      <c r="AH3" s="1"/>
      <c r="AI3" s="1"/>
      <c r="AJ3" s="1"/>
      <c r="AK3" s="1"/>
      <c r="AL3" s="1"/>
      <c r="AM3" s="1"/>
      <c r="AN3" s="1"/>
      <c r="AO3" s="1"/>
      <c r="AP3" s="1"/>
      <c r="AQ3" s="1"/>
      <c r="AR3" s="1"/>
      <c r="AS3" s="1"/>
      <c r="AW3" s="170"/>
      <c r="AX3" s="170"/>
      <c r="AY3" s="170"/>
      <c r="AZ3" s="170"/>
      <c r="BA3" s="170"/>
      <c r="BB3" s="170"/>
      <c r="BC3" s="170"/>
      <c r="BD3" s="170"/>
      <c r="BE3" s="170"/>
      <c r="BF3" s="170"/>
      <c r="BG3" s="170"/>
      <c r="BH3" s="170"/>
      <c r="BI3" s="170"/>
      <c r="BJ3" s="1"/>
      <c r="BK3" s="1"/>
      <c r="BL3" s="1"/>
      <c r="BM3" s="1"/>
      <c r="BN3" s="1"/>
      <c r="BO3" s="1"/>
      <c r="BS3" s="56" t="s">
        <v>60</v>
      </c>
      <c r="BT3" s="57">
        <f>WEO!BN13</f>
        <v>0.95</v>
      </c>
      <c r="BU3"/>
      <c r="BV3"/>
      <c r="BW3"/>
      <c r="BX3"/>
      <c r="BY3"/>
      <c r="BZ3"/>
      <c r="CA3"/>
      <c r="CB3"/>
      <c r="CF3" t="s">
        <v>90</v>
      </c>
      <c r="CG3"/>
      <c r="CH3"/>
      <c r="CI3"/>
      <c r="CJ3" s="270" t="s">
        <v>216</v>
      </c>
      <c r="CK3" s="260"/>
      <c r="CL3" s="260"/>
      <c r="CP3" s="286" t="s">
        <v>237</v>
      </c>
      <c r="CQ3" s="280"/>
      <c r="CR3" s="280"/>
      <c r="CS3" s="280"/>
      <c r="CT3" s="280"/>
      <c r="CU3" s="280"/>
      <c r="CY3" s="145" t="s">
        <v>100</v>
      </c>
      <c r="CZ3" s="128">
        <v>5000</v>
      </c>
      <c r="DA3" s="129" t="s">
        <v>98</v>
      </c>
      <c r="DB3" s="129">
        <v>1</v>
      </c>
      <c r="DC3" s="130" t="s">
        <v>97</v>
      </c>
      <c r="DD3" s="1"/>
      <c r="DE3" s="1"/>
      <c r="DF3" s="1"/>
      <c r="DG3" s="1"/>
      <c r="DH3" s="1"/>
      <c r="DL3" s="279"/>
      <c r="DM3" s="279"/>
      <c r="DN3" s="382"/>
      <c r="DO3" s="382"/>
      <c r="DP3" s="382"/>
      <c r="DQ3" s="382"/>
      <c r="DR3" s="438"/>
      <c r="DS3" s="438"/>
      <c r="DT3" s="438"/>
      <c r="DU3" s="438"/>
      <c r="DV3" s="438"/>
      <c r="DW3" s="438"/>
      <c r="DX3" s="438"/>
      <c r="DY3" s="438"/>
      <c r="DZ3" s="438"/>
      <c r="EA3" s="438"/>
      <c r="EB3" s="438"/>
      <c r="EC3" s="382"/>
      <c r="ED3" s="382"/>
      <c r="EE3" s="382"/>
      <c r="EF3" s="382"/>
      <c r="EG3" s="382"/>
      <c r="EH3" s="279"/>
      <c r="EI3" s="279"/>
      <c r="EM3" s="170"/>
      <c r="EN3" s="170"/>
      <c r="EO3" s="170"/>
      <c r="EP3" s="170"/>
      <c r="EQ3" s="170"/>
      <c r="ER3" s="170"/>
      <c r="ES3" s="170"/>
      <c r="ET3" s="170"/>
      <c r="EU3" s="170"/>
      <c r="EV3" s="170"/>
      <c r="EW3" s="1"/>
      <c r="EX3" s="1"/>
      <c r="EY3" s="1"/>
      <c r="FC3" s="212"/>
      <c r="FD3" s="212"/>
      <c r="FE3" s="212"/>
      <c r="FF3" s="213" t="s">
        <v>169</v>
      </c>
      <c r="FG3" s="212"/>
      <c r="FH3" s="212"/>
      <c r="FI3"/>
      <c r="FJ3"/>
      <c r="FK3"/>
      <c r="FL3"/>
      <c r="FM3"/>
      <c r="FN3"/>
      <c r="FO3"/>
      <c r="FP3"/>
      <c r="FQ3"/>
      <c r="FR3"/>
      <c r="FS3"/>
      <c r="FW3" s="336"/>
      <c r="FX3" s="336"/>
      <c r="FY3" s="336"/>
      <c r="FZ3" s="336"/>
      <c r="GA3" s="336"/>
      <c r="GB3" s="336"/>
      <c r="GC3" s="336"/>
      <c r="GD3" s="336"/>
      <c r="GE3" s="336"/>
      <c r="GF3" s="336"/>
      <c r="GG3" s="390"/>
      <c r="GH3"/>
      <c r="GI3"/>
      <c r="GJ3"/>
      <c r="GK3"/>
      <c r="GL3"/>
    </row>
    <row r="4" spans="2:199" ht="52.5" customHeight="1" thickTop="1" thickBot="1">
      <c r="B4" s="179" t="s">
        <v>127</v>
      </c>
      <c r="E4" s="183"/>
      <c r="F4" s="184" t="s">
        <v>131</v>
      </c>
      <c r="G4" s="68" t="s">
        <v>132</v>
      </c>
      <c r="H4" s="68" t="s">
        <v>225</v>
      </c>
      <c r="I4" s="70" t="s">
        <v>19</v>
      </c>
      <c r="J4"/>
      <c r="K4" s="344" t="s">
        <v>131</v>
      </c>
      <c r="L4" s="345" t="s">
        <v>132</v>
      </c>
      <c r="M4" s="345" t="s">
        <v>164</v>
      </c>
      <c r="N4" s="379" t="s">
        <v>143</v>
      </c>
      <c r="R4" s="10" t="s">
        <v>0</v>
      </c>
      <c r="S4" s="10" t="s">
        <v>140</v>
      </c>
      <c r="T4" s="74" t="s">
        <v>227</v>
      </c>
      <c r="U4" s="10" t="s">
        <v>2</v>
      </c>
      <c r="V4" s="10" t="s">
        <v>24</v>
      </c>
      <c r="W4" s="10" t="s">
        <v>3</v>
      </c>
      <c r="X4" s="74"/>
      <c r="Y4" s="10" t="s">
        <v>4</v>
      </c>
      <c r="Z4" s="1"/>
      <c r="AA4" s="19"/>
      <c r="AB4" s="201"/>
      <c r="AC4" s="19"/>
      <c r="AD4" s="1"/>
      <c r="AE4" s="1"/>
      <c r="AF4" s="1"/>
      <c r="AG4" s="1"/>
      <c r="AH4" s="1"/>
      <c r="AI4" s="1"/>
      <c r="AJ4" s="1"/>
      <c r="AK4" s="1"/>
      <c r="AL4" s="1"/>
      <c r="AM4" s="1"/>
      <c r="AN4" s="1"/>
      <c r="AO4" s="1"/>
      <c r="AP4" s="1"/>
      <c r="AQ4" s="1"/>
      <c r="AR4" s="1"/>
      <c r="AS4" s="1"/>
      <c r="AW4" s="442" t="s">
        <v>0</v>
      </c>
      <c r="AX4" s="442" t="s">
        <v>140</v>
      </c>
      <c r="AY4" s="442"/>
      <c r="AZ4" s="442"/>
      <c r="BA4" s="442"/>
      <c r="BB4" s="442" t="s">
        <v>38</v>
      </c>
      <c r="BC4" s="443" t="s">
        <v>24</v>
      </c>
      <c r="BD4" s="442" t="s">
        <v>39</v>
      </c>
      <c r="BE4" s="41"/>
      <c r="BF4" s="442" t="s">
        <v>40</v>
      </c>
      <c r="BG4" s="453" t="s">
        <v>193</v>
      </c>
      <c r="BH4" s="454" t="s">
        <v>197</v>
      </c>
      <c r="BI4" s="455"/>
      <c r="BJ4" s="455"/>
      <c r="BK4" s="1"/>
      <c r="BL4" s="1"/>
      <c r="BM4" s="1"/>
      <c r="BN4" s="1"/>
      <c r="BO4" s="1"/>
      <c r="BS4"/>
      <c r="BT4"/>
      <c r="BU4"/>
      <c r="BV4"/>
      <c r="BW4"/>
      <c r="BX4"/>
      <c r="BY4"/>
      <c r="BZ4"/>
      <c r="CA4"/>
      <c r="CB4"/>
      <c r="CF4" s="112" t="s">
        <v>87</v>
      </c>
      <c r="CG4"/>
      <c r="CH4"/>
      <c r="CI4"/>
      <c r="CJ4" s="271">
        <f>WEO!CG10</f>
        <v>2118.4047542000003</v>
      </c>
      <c r="CK4" s="260" t="s">
        <v>28</v>
      </c>
      <c r="CL4" s="380" t="s">
        <v>27</v>
      </c>
      <c r="CP4" s="280"/>
      <c r="CQ4" s="332" t="s">
        <v>175</v>
      </c>
      <c r="CR4" s="332" t="s">
        <v>176</v>
      </c>
      <c r="CS4" s="332" t="s">
        <v>85</v>
      </c>
      <c r="CT4" s="332" t="s">
        <v>83</v>
      </c>
      <c r="CU4" s="332" t="s">
        <v>19</v>
      </c>
      <c r="CY4" s="131"/>
      <c r="CZ4" s="131"/>
      <c r="DA4" s="132"/>
      <c r="DB4" s="132"/>
      <c r="DC4" s="131"/>
      <c r="DD4" s="1"/>
      <c r="DE4" s="1"/>
      <c r="DF4" s="1"/>
      <c r="DG4" s="1"/>
      <c r="DH4" s="1"/>
      <c r="DL4" s="279"/>
      <c r="DM4" s="279"/>
      <c r="DN4" s="382"/>
      <c r="DO4" s="382"/>
      <c r="DP4" s="382"/>
      <c r="DQ4" s="382"/>
      <c r="DR4" s="438"/>
      <c r="DS4" s="438"/>
      <c r="DT4" s="438"/>
      <c r="DU4" s="438"/>
      <c r="DV4" s="438"/>
      <c r="DW4" s="438"/>
      <c r="DX4" s="438"/>
      <c r="DY4" s="438"/>
      <c r="DZ4" s="438"/>
      <c r="EA4" s="438"/>
      <c r="EB4" s="438"/>
      <c r="EC4" s="382"/>
      <c r="ED4" s="383"/>
      <c r="EE4" s="382"/>
      <c r="EF4" s="382"/>
      <c r="EG4" s="382"/>
      <c r="EH4" s="279"/>
      <c r="EI4" s="279"/>
      <c r="EM4" s="442" t="s">
        <v>0</v>
      </c>
      <c r="EN4" s="442" t="s">
        <v>140</v>
      </c>
      <c r="EO4" s="442"/>
      <c r="EP4" s="442"/>
      <c r="EQ4" s="442"/>
      <c r="ER4" s="442" t="s">
        <v>38</v>
      </c>
      <c r="ES4" s="443" t="s">
        <v>159</v>
      </c>
      <c r="ET4" s="443" t="s">
        <v>149</v>
      </c>
      <c r="EU4" s="443" t="s">
        <v>154</v>
      </c>
      <c r="EV4" s="442" t="s">
        <v>157</v>
      </c>
      <c r="EW4" s="202"/>
      <c r="EX4" s="442" t="s">
        <v>40</v>
      </c>
      <c r="EY4" s="1"/>
      <c r="FC4" s="212"/>
      <c r="FD4" s="214" t="s">
        <v>165</v>
      </c>
      <c r="FE4" s="214" t="s">
        <v>166</v>
      </c>
      <c r="FF4" s="214" t="s">
        <v>168</v>
      </c>
      <c r="FG4" s="214" t="s">
        <v>167</v>
      </c>
      <c r="FH4" s="214" t="s">
        <v>238</v>
      </c>
      <c r="FI4"/>
      <c r="FJ4"/>
      <c r="FK4" s="430" t="s">
        <v>239</v>
      </c>
      <c r="FL4" s="430"/>
      <c r="FM4" s="430"/>
      <c r="FN4" s="430"/>
      <c r="FO4" s="430"/>
      <c r="FP4" s="430"/>
      <c r="FQ4" s="430"/>
      <c r="FR4" s="430"/>
      <c r="FS4" s="430"/>
      <c r="FW4" s="336"/>
      <c r="FX4" s="336"/>
      <c r="FY4" s="336"/>
      <c r="FZ4" s="336"/>
      <c r="GA4" s="336"/>
      <c r="GB4" s="336"/>
      <c r="GC4" s="336"/>
      <c r="GD4" s="336"/>
      <c r="GE4" s="336"/>
      <c r="GF4" s="336"/>
      <c r="GG4" s="390"/>
      <c r="GH4"/>
      <c r="GI4"/>
      <c r="GJ4"/>
      <c r="GK4"/>
      <c r="GL4"/>
    </row>
    <row r="5" spans="2:199" ht="47.25" thickBot="1">
      <c r="B5" s="402" t="s">
        <v>245</v>
      </c>
      <c r="E5" s="185" t="s">
        <v>133</v>
      </c>
      <c r="F5" s="191">
        <v>0.84524017551074415</v>
      </c>
      <c r="G5" s="192">
        <v>0.47428912409882962</v>
      </c>
      <c r="H5" s="192">
        <v>1.3333053255456253</v>
      </c>
      <c r="I5" s="193">
        <v>2.6528346251551991</v>
      </c>
      <c r="J5"/>
      <c r="K5" s="303">
        <f>WEO!F5/WEO!$I5</f>
        <v>0.31861774099894935</v>
      </c>
      <c r="L5" s="304">
        <f>WEO!G5/WEO!$I5</f>
        <v>0.17878578619316771</v>
      </c>
      <c r="M5" s="304">
        <f>WEO!H5/WEO!$I5</f>
        <v>0.50259647280788289</v>
      </c>
      <c r="N5" s="305">
        <f>K5+L5</f>
        <v>0.49740352719211706</v>
      </c>
      <c r="R5" s="2" t="s">
        <v>5</v>
      </c>
      <c r="S5" s="2" t="s">
        <v>6</v>
      </c>
      <c r="T5" s="50" t="s">
        <v>7</v>
      </c>
      <c r="U5" s="2" t="s">
        <v>8</v>
      </c>
      <c r="V5" s="2" t="s">
        <v>9</v>
      </c>
      <c r="W5" s="2" t="s">
        <v>10</v>
      </c>
      <c r="X5" s="111" t="s">
        <v>15</v>
      </c>
      <c r="Y5" s="2" t="s">
        <v>11</v>
      </c>
      <c r="Z5" s="1"/>
      <c r="AA5" s="19"/>
      <c r="AB5" s="201"/>
      <c r="AC5" s="19"/>
      <c r="AD5" s="1"/>
      <c r="AE5" s="1"/>
      <c r="AF5" s="1"/>
      <c r="AG5" s="1"/>
      <c r="AH5" s="1"/>
      <c r="AI5" s="1"/>
      <c r="AJ5" s="1"/>
      <c r="AK5" s="1"/>
      <c r="AL5" s="1"/>
      <c r="AM5" s="1"/>
      <c r="AN5" s="1"/>
      <c r="AO5" s="1"/>
      <c r="AP5" s="1"/>
      <c r="AQ5" s="1"/>
      <c r="AR5" s="1"/>
      <c r="AS5" s="1"/>
      <c r="AW5" s="442"/>
      <c r="AX5" s="444" t="s">
        <v>17</v>
      </c>
      <c r="AY5" s="444" t="s">
        <v>18</v>
      </c>
      <c r="AZ5" s="446" t="s">
        <v>19</v>
      </c>
      <c r="BA5" s="446" t="s">
        <v>227</v>
      </c>
      <c r="BB5" s="442"/>
      <c r="BC5" s="443"/>
      <c r="BD5" s="442"/>
      <c r="BE5" s="42"/>
      <c r="BF5" s="442"/>
      <c r="BG5" s="453"/>
      <c r="BH5" s="454" t="s">
        <v>194</v>
      </c>
      <c r="BI5" s="455" t="s">
        <v>195</v>
      </c>
      <c r="BJ5" s="455" t="s">
        <v>196</v>
      </c>
      <c r="BK5" s="1"/>
      <c r="BL5" s="1"/>
      <c r="BM5" s="1"/>
      <c r="BN5" s="1"/>
      <c r="BO5" s="1"/>
      <c r="BS5" s="58" t="s">
        <v>61</v>
      </c>
      <c r="BT5" s="164" t="s">
        <v>110</v>
      </c>
      <c r="BU5" s="59" t="s">
        <v>62</v>
      </c>
      <c r="BV5" s="59" t="s">
        <v>63</v>
      </c>
      <c r="BW5" s="59" t="s">
        <v>64</v>
      </c>
      <c r="BX5" s="59" t="s">
        <v>65</v>
      </c>
      <c r="BY5" s="60" t="s">
        <v>66</v>
      </c>
      <c r="BZ5" s="450" t="s">
        <v>67</v>
      </c>
      <c r="CA5" s="451"/>
      <c r="CB5" s="452"/>
      <c r="CF5" s="112"/>
      <c r="CG5"/>
      <c r="CH5"/>
      <c r="CI5"/>
      <c r="CJ5" s="272">
        <v>0.05</v>
      </c>
      <c r="CK5" s="260" t="s">
        <v>9</v>
      </c>
      <c r="CL5" s="380" t="s">
        <v>29</v>
      </c>
      <c r="CP5" s="280" t="str">
        <f>WEO!R6</f>
        <v>Wholesalers mango</v>
      </c>
      <c r="CQ5" s="287">
        <f>WEO!AC15</f>
        <v>8.0425902314677528E-4</v>
      </c>
      <c r="CR5" s="287">
        <f>WEO!BD17</f>
        <v>1.742253611248964E-3</v>
      </c>
      <c r="CS5" s="288">
        <f>WEO!Y15</f>
        <v>2.1307503080553396E-2</v>
      </c>
      <c r="CT5" s="288">
        <f>WEO!U15</f>
        <v>3.1830471634365053E-2</v>
      </c>
      <c r="CU5" s="288">
        <f>SUM(CQ5:CT5)</f>
        <v>5.5684487349314186E-2</v>
      </c>
      <c r="CY5" s="146"/>
      <c r="CZ5" s="149" t="s">
        <v>35</v>
      </c>
      <c r="DA5" s="432" t="s">
        <v>163</v>
      </c>
      <c r="DB5" s="433"/>
      <c r="DC5" s="1"/>
      <c r="DD5" s="434" t="s">
        <v>103</v>
      </c>
      <c r="DE5" s="435"/>
      <c r="DF5" s="151" t="s">
        <v>107</v>
      </c>
      <c r="DG5" s="436" t="s">
        <v>106</v>
      </c>
      <c r="DH5" s="437"/>
      <c r="DL5" s="279"/>
      <c r="DM5" s="279"/>
      <c r="DN5" s="382"/>
      <c r="DO5" s="382"/>
      <c r="DP5" s="382"/>
      <c r="DQ5" s="382"/>
      <c r="DR5" s="438"/>
      <c r="DS5" s="438"/>
      <c r="DT5" s="438"/>
      <c r="DU5" s="438"/>
      <c r="DV5" s="438"/>
      <c r="DW5" s="438"/>
      <c r="DX5" s="438"/>
      <c r="DY5" s="438"/>
      <c r="DZ5" s="438"/>
      <c r="EA5" s="438"/>
      <c r="EB5" s="438"/>
      <c r="EC5" s="393">
        <f>WEO!BG17*1000</f>
        <v>101.69476640876626</v>
      </c>
      <c r="ED5" s="394"/>
      <c r="EE5" s="394"/>
      <c r="EF5" s="394"/>
      <c r="EG5" s="395">
        <f>EC5*0.06</f>
        <v>6.1016859845259752</v>
      </c>
      <c r="EH5" s="279"/>
      <c r="EI5" s="279"/>
      <c r="EM5" s="442"/>
      <c r="EN5" s="444" t="s">
        <v>17</v>
      </c>
      <c r="EO5" s="444" t="s">
        <v>18</v>
      </c>
      <c r="EP5" s="446" t="s">
        <v>19</v>
      </c>
      <c r="EQ5" s="446" t="s">
        <v>1</v>
      </c>
      <c r="ER5" s="442"/>
      <c r="ES5" s="443"/>
      <c r="ET5" s="443"/>
      <c r="EU5" s="443"/>
      <c r="EV5" s="442"/>
      <c r="EW5" s="42"/>
      <c r="EX5" s="442"/>
      <c r="EY5" s="1"/>
      <c r="FC5" s="212" t="str">
        <f>WEO!EM8</f>
        <v>Wholesalers mango</v>
      </c>
      <c r="FD5" s="215" t="e">
        <f>#REF!</f>
        <v>#REF!</v>
      </c>
      <c r="FE5" s="215" t="e">
        <f>#REF!</f>
        <v>#REF!</v>
      </c>
      <c r="FF5" s="224">
        <f>WEO!EV17</f>
        <v>6.5975999864648385</v>
      </c>
      <c r="FG5" s="225" t="e">
        <f>#REF!</f>
        <v>#REF!</v>
      </c>
      <c r="FH5" s="226">
        <f>WEO!BF17</f>
        <v>2.8262674444827898</v>
      </c>
      <c r="FI5"/>
      <c r="FJ5" s="208"/>
      <c r="FK5" s="430"/>
      <c r="FL5" s="430"/>
      <c r="FM5" s="430"/>
      <c r="FN5" s="430"/>
      <c r="FO5" s="430"/>
      <c r="FP5" s="430"/>
      <c r="FQ5" s="430"/>
      <c r="FR5" s="430"/>
      <c r="FS5" s="430"/>
      <c r="FW5" s="336"/>
      <c r="FX5" s="336"/>
      <c r="FY5" s="336"/>
      <c r="FZ5" s="336"/>
      <c r="GA5" s="336"/>
      <c r="GB5" s="336"/>
      <c r="GC5" s="336"/>
      <c r="GD5" s="336"/>
      <c r="GE5" s="336"/>
      <c r="GF5" s="336"/>
      <c r="GG5" s="390"/>
      <c r="GH5"/>
      <c r="GI5"/>
      <c r="GJ5"/>
      <c r="GK5"/>
      <c r="GL5"/>
    </row>
    <row r="6" spans="2:199" ht="35.25" customHeight="1">
      <c r="B6" s="176" t="s">
        <v>128</v>
      </c>
      <c r="E6" s="186" t="s">
        <v>134</v>
      </c>
      <c r="F6" s="194">
        <v>1.0829248033459746</v>
      </c>
      <c r="G6" s="195">
        <v>1.6049657705871403</v>
      </c>
      <c r="H6" s="195">
        <v>0.63692580358391171</v>
      </c>
      <c r="I6" s="196">
        <v>3.3248163775170263</v>
      </c>
      <c r="J6"/>
      <c r="K6" s="306">
        <f>WEO!F6/WEO!$I6</f>
        <v>0.32570965743218072</v>
      </c>
      <c r="L6" s="307">
        <f>WEO!G6/WEO!$I6</f>
        <v>0.48272313064871547</v>
      </c>
      <c r="M6" s="307">
        <f>WEO!H6/WEO!$I6</f>
        <v>0.19156721191910395</v>
      </c>
      <c r="N6" s="308">
        <f>K6+L6</f>
        <v>0.80843278808089614</v>
      </c>
      <c r="R6" s="3" t="s">
        <v>12</v>
      </c>
      <c r="S6" s="32">
        <v>0.63100000000000001</v>
      </c>
      <c r="T6" s="41">
        <v>0.161</v>
      </c>
      <c r="U6" s="6">
        <f>S6*T6</f>
        <v>0.101591</v>
      </c>
      <c r="V6" s="7">
        <f>WEO!K5</f>
        <v>0.31861774099894935</v>
      </c>
      <c r="W6" s="6">
        <f>U6/V6</f>
        <v>0.31884916289182719</v>
      </c>
      <c r="X6" s="198">
        <f>W6*285.9*0.75</f>
        <v>68.369231753080044</v>
      </c>
      <c r="Y6" s="6">
        <f>X6/3600</f>
        <v>1.8991453264744457E-2</v>
      </c>
      <c r="Z6" s="1"/>
      <c r="AA6" s="32"/>
      <c r="AB6" s="32"/>
      <c r="AC6" s="32"/>
      <c r="AD6" s="1"/>
      <c r="AE6" s="1"/>
      <c r="AF6" s="1"/>
      <c r="AG6" s="114"/>
      <c r="AH6" s="114"/>
      <c r="AI6" s="114"/>
      <c r="AJ6" s="114"/>
      <c r="AK6" s="1"/>
      <c r="AL6" s="1"/>
      <c r="AM6" s="1"/>
      <c r="AN6" s="1"/>
      <c r="AO6" s="1"/>
      <c r="AP6" s="1"/>
      <c r="AQ6" s="1"/>
      <c r="AR6" s="1"/>
      <c r="AS6" s="1"/>
      <c r="AW6" s="442"/>
      <c r="AX6" s="445"/>
      <c r="AY6" s="445"/>
      <c r="AZ6" s="447"/>
      <c r="BA6" s="447"/>
      <c r="BB6" s="442"/>
      <c r="BC6" s="443"/>
      <c r="BD6" s="442"/>
      <c r="BE6" s="42"/>
      <c r="BF6" s="442"/>
      <c r="BG6" s="453"/>
      <c r="BH6" s="454"/>
      <c r="BI6" s="455"/>
      <c r="BJ6" s="455"/>
      <c r="BK6" s="1"/>
      <c r="BL6" s="1"/>
      <c r="BM6" s="1"/>
      <c r="BN6" s="1"/>
      <c r="BO6" s="1"/>
      <c r="BS6" s="61" t="s">
        <v>5</v>
      </c>
      <c r="BT6" s="62"/>
      <c r="BU6" s="62" t="s">
        <v>68</v>
      </c>
      <c r="BV6" s="62" t="s">
        <v>69</v>
      </c>
      <c r="BW6" s="62" t="s">
        <v>70</v>
      </c>
      <c r="BX6" s="62" t="s">
        <v>71</v>
      </c>
      <c r="BY6" s="63" t="s">
        <v>71</v>
      </c>
      <c r="BZ6" s="64" t="s">
        <v>72</v>
      </c>
      <c r="CA6" s="65" t="s">
        <v>73</v>
      </c>
      <c r="CB6" s="66" t="s">
        <v>49</v>
      </c>
      <c r="CF6" s="372"/>
      <c r="CG6" s="373" t="s">
        <v>89</v>
      </c>
      <c r="CH6" s="374"/>
      <c r="CI6"/>
      <c r="CJ6" s="273">
        <f>CJ4*CJ5</f>
        <v>105.92023771000002</v>
      </c>
      <c r="CK6" s="260" t="s">
        <v>28</v>
      </c>
      <c r="CL6" s="380" t="s">
        <v>30</v>
      </c>
      <c r="CP6" s="280" t="str">
        <f>WEO!R7</f>
        <v>Wholesalers asian pear</v>
      </c>
      <c r="CQ6" s="287">
        <f>WEO!AC16</f>
        <v>1.3735486817162868E-3</v>
      </c>
      <c r="CR6" s="287">
        <f>WEO!BD18</f>
        <v>2.8465578910161216E-3</v>
      </c>
      <c r="CS6" s="288">
        <f>WEO!Y16</f>
        <v>9.1254399547164425E-2</v>
      </c>
      <c r="CT6" s="288">
        <f>WEO!U16</f>
        <v>2.1553286928039466E-2</v>
      </c>
      <c r="CU6" s="288">
        <f>SUM(CQ6:CT6)</f>
        <v>0.1170277930479363</v>
      </c>
      <c r="CY6" s="133"/>
      <c r="CZ6" s="134" t="s">
        <v>105</v>
      </c>
      <c r="DA6" s="135" t="s">
        <v>99</v>
      </c>
      <c r="DB6" s="147" t="s">
        <v>101</v>
      </c>
      <c r="DC6" s="1"/>
      <c r="DD6" s="152" t="s">
        <v>104</v>
      </c>
      <c r="DE6" s="153" t="s">
        <v>108</v>
      </c>
      <c r="DF6" s="153" t="s">
        <v>162</v>
      </c>
      <c r="DG6" s="364" t="s">
        <v>102</v>
      </c>
      <c r="DH6" s="154" t="s">
        <v>109</v>
      </c>
      <c r="DL6" s="279"/>
      <c r="DM6" s="279"/>
      <c r="DN6" s="384">
        <f>WEO!BF8*1000</f>
        <v>157.37925375808047</v>
      </c>
      <c r="DO6" s="382"/>
      <c r="DP6" s="386">
        <f>WEO!BF17</f>
        <v>2.8262674444827898</v>
      </c>
      <c r="DQ6" s="382"/>
      <c r="DR6" s="438"/>
      <c r="DS6" s="438"/>
      <c r="DT6" s="438"/>
      <c r="DU6" s="438"/>
      <c r="DV6" s="438"/>
      <c r="DW6" s="438"/>
      <c r="DX6" s="438"/>
      <c r="DY6" s="438"/>
      <c r="DZ6" s="438"/>
      <c r="EA6" s="438"/>
      <c r="EB6" s="438"/>
      <c r="EC6" s="382"/>
      <c r="ED6" s="382"/>
      <c r="EE6" s="382"/>
      <c r="EF6" s="382"/>
      <c r="EG6" s="382"/>
      <c r="EH6" s="279"/>
      <c r="EI6" s="279"/>
      <c r="EM6" s="442"/>
      <c r="EN6" s="445"/>
      <c r="EO6" s="445"/>
      <c r="EP6" s="447"/>
      <c r="EQ6" s="447"/>
      <c r="ER6" s="442"/>
      <c r="ES6" s="443"/>
      <c r="ET6" s="443"/>
      <c r="EU6" s="443"/>
      <c r="EV6" s="442"/>
      <c r="EW6" s="42"/>
      <c r="EX6" s="445"/>
      <c r="EY6" s="1"/>
      <c r="FC6" s="212" t="str">
        <f>WEO!EM9</f>
        <v>Wholesalers asian pear</v>
      </c>
      <c r="FD6" s="215" t="e">
        <f>#REF!</f>
        <v>#REF!</v>
      </c>
      <c r="FE6" s="215" t="e">
        <f>#REF!</f>
        <v>#REF!</v>
      </c>
      <c r="FF6" s="227">
        <f>WEO!EV18</f>
        <v>2.6122085139923792</v>
      </c>
      <c r="FG6" s="228" t="e">
        <f>#REF!</f>
        <v>#REF!</v>
      </c>
      <c r="FH6" s="229">
        <f>WEO!BF18</f>
        <v>2.131111860354868</v>
      </c>
      <c r="FI6" s="209"/>
      <c r="FJ6" s="208"/>
      <c r="FK6" s="430"/>
      <c r="FL6" s="430"/>
      <c r="FM6" s="430"/>
      <c r="FN6" s="430"/>
      <c r="FO6" s="430"/>
      <c r="FP6" s="430"/>
      <c r="FQ6" s="430"/>
      <c r="FR6" s="430"/>
      <c r="FS6" s="430"/>
      <c r="FW6" s="427" t="s">
        <v>222</v>
      </c>
      <c r="FX6" s="427"/>
      <c r="FY6" s="427"/>
      <c r="FZ6" s="427"/>
      <c r="GA6" s="427"/>
      <c r="GB6" s="427"/>
      <c r="GC6" s="427"/>
      <c r="GD6" s="427"/>
      <c r="GE6" s="427"/>
      <c r="GF6" s="427"/>
      <c r="GG6" s="390"/>
      <c r="GH6"/>
      <c r="GI6"/>
      <c r="GJ6" s="403"/>
      <c r="GK6" s="404" t="s">
        <v>252</v>
      </c>
      <c r="GL6" s="405"/>
      <c r="GM6" s="396"/>
      <c r="GN6" s="396"/>
      <c r="GO6" s="396"/>
      <c r="GP6" s="406" t="s">
        <v>253</v>
      </c>
      <c r="GQ6" s="407"/>
    </row>
    <row r="7" spans="2:199" ht="61.5">
      <c r="B7" s="177" t="s">
        <v>126</v>
      </c>
      <c r="E7" s="186" t="s">
        <v>135</v>
      </c>
      <c r="F7" s="315" t="s">
        <v>189</v>
      </c>
      <c r="G7" s="316" t="s">
        <v>189</v>
      </c>
      <c r="H7" s="187">
        <v>0.52272625086719737</v>
      </c>
      <c r="I7" s="188">
        <v>0.52272625086719737</v>
      </c>
      <c r="J7"/>
      <c r="K7" s="309"/>
      <c r="L7" s="310"/>
      <c r="M7" s="310">
        <f>WEO!H7/WEO!$I7</f>
        <v>1</v>
      </c>
      <c r="N7" s="308"/>
      <c r="R7" s="3" t="s">
        <v>13</v>
      </c>
      <c r="S7" s="32">
        <v>0.43319999999999997</v>
      </c>
      <c r="T7" s="41">
        <v>0.29399999999999998</v>
      </c>
      <c r="U7" s="6">
        <f>S7*T7</f>
        <v>0.1273608</v>
      </c>
      <c r="V7" s="7">
        <f>WEO!K6</f>
        <v>0.32570965743218072</v>
      </c>
      <c r="W7" s="6">
        <f>U7/V7</f>
        <v>0.39102555633162051</v>
      </c>
      <c r="X7" s="198">
        <f>W7*285.9*0.75</f>
        <v>83.845654916407724</v>
      </c>
      <c r="Y7" s="6">
        <f>X7/3600</f>
        <v>2.3290459699002147E-2</v>
      </c>
      <c r="Z7" s="1"/>
      <c r="AA7" s="32"/>
      <c r="AB7" s="32"/>
      <c r="AC7" s="32"/>
      <c r="AD7" s="1"/>
      <c r="AE7" s="1"/>
      <c r="AF7" s="1"/>
      <c r="AG7" s="114"/>
      <c r="AH7" s="114"/>
      <c r="AI7" s="114"/>
      <c r="AJ7" s="114"/>
      <c r="AK7" s="1"/>
      <c r="AL7" s="1"/>
      <c r="AM7" s="1"/>
      <c r="AN7" s="1"/>
      <c r="AO7" s="1"/>
      <c r="AP7" s="1"/>
      <c r="AQ7" s="1"/>
      <c r="AR7" s="1"/>
      <c r="AS7" s="1"/>
      <c r="AW7" s="18" t="s">
        <v>5</v>
      </c>
      <c r="AX7" s="43" t="s">
        <v>6</v>
      </c>
      <c r="AY7" s="43" t="s">
        <v>6</v>
      </c>
      <c r="AZ7" s="51" t="s">
        <v>6</v>
      </c>
      <c r="BA7" s="45" t="s">
        <v>7</v>
      </c>
      <c r="BB7" s="18" t="s">
        <v>8</v>
      </c>
      <c r="BC7" s="45" t="s">
        <v>9</v>
      </c>
      <c r="BD7" s="18" t="s">
        <v>10</v>
      </c>
      <c r="BE7" s="108" t="s">
        <v>15</v>
      </c>
      <c r="BF7" s="18" t="s">
        <v>11</v>
      </c>
      <c r="BG7" s="45" t="s">
        <v>11</v>
      </c>
      <c r="BH7" s="45" t="s">
        <v>10</v>
      </c>
      <c r="BI7" s="45" t="s">
        <v>10</v>
      </c>
      <c r="BJ7" s="455"/>
      <c r="BK7" s="1"/>
      <c r="BL7" s="1"/>
      <c r="BM7" s="1"/>
      <c r="BN7" s="1"/>
      <c r="BO7" s="1"/>
      <c r="BS7" s="67" t="s">
        <v>74</v>
      </c>
      <c r="BT7" s="68" t="s">
        <v>75</v>
      </c>
      <c r="BU7" s="68">
        <v>4190</v>
      </c>
      <c r="BV7" s="68">
        <v>0.16</v>
      </c>
      <c r="BW7" s="69">
        <v>25</v>
      </c>
      <c r="BX7" s="69">
        <v>200</v>
      </c>
      <c r="BY7" s="70">
        <f>BX7-BW7</f>
        <v>175</v>
      </c>
      <c r="BZ7" s="71">
        <f>(BU7*BV7*BY7)*(1-BT3)</f>
        <v>5866.0000000000055</v>
      </c>
      <c r="CA7" s="72">
        <f>BZ7/3600000</f>
        <v>1.6294444444444459E-3</v>
      </c>
      <c r="CB7" s="73">
        <f>(1/BV7)*CA7</f>
        <v>1.0184027777777787E-2</v>
      </c>
      <c r="CF7" s="367" t="s">
        <v>88</v>
      </c>
      <c r="CG7" s="113">
        <v>2630</v>
      </c>
      <c r="CH7" s="368" t="s">
        <v>217</v>
      </c>
      <c r="CI7"/>
      <c r="CJ7" s="271">
        <f>CJ6/WEO!BC23</f>
        <v>1333.7280718992658</v>
      </c>
      <c r="CK7" s="260" t="s">
        <v>56</v>
      </c>
      <c r="CL7" s="380" t="s">
        <v>30</v>
      </c>
      <c r="CP7" s="280" t="str">
        <f>WEO!R8</f>
        <v>Catering waste 1</v>
      </c>
      <c r="CQ7" s="287">
        <f>WEO!AC17</f>
        <v>2.6850927180043132E-3</v>
      </c>
      <c r="CR7" s="287">
        <f>WEO!BD19</f>
        <v>8.0046273548928736E-4</v>
      </c>
      <c r="CS7" s="288">
        <f>WEO!Y17</f>
        <v>1.7147654979490928E-2</v>
      </c>
      <c r="CT7" s="288">
        <f>WEO!U17</f>
        <v>2.3924955467302108E-2</v>
      </c>
      <c r="CU7" s="288">
        <f>SUM(CQ7:CT7)</f>
        <v>4.4558165900286634E-2</v>
      </c>
      <c r="CY7" s="136" t="s">
        <v>12</v>
      </c>
      <c r="CZ7" s="137">
        <f>WEO!BC17*1000</f>
        <v>1.7422536112489639</v>
      </c>
      <c r="DA7" s="138">
        <f>($CZ$3*CZ7)/$DB$3</f>
        <v>8711.2680562448204</v>
      </c>
      <c r="DB7" s="139">
        <f>DA7/10000</f>
        <v>0.87112680562448208</v>
      </c>
      <c r="DC7" s="1"/>
      <c r="DD7" s="155">
        <f>WEO!BG17*1000</f>
        <v>101.69476640876626</v>
      </c>
      <c r="DE7" s="165">
        <f>DD7*$CZ$3</f>
        <v>508473.83204383129</v>
      </c>
      <c r="DF7" s="150">
        <f>DE7/(365.242199*24)</f>
        <v>58.006467288006249</v>
      </c>
      <c r="DG7" s="249">
        <f>DF7/DB7</f>
        <v>66.587857144888716</v>
      </c>
      <c r="DH7" s="156">
        <f>DG7*(365.242199*24)/1000</f>
        <v>583.69668888712852</v>
      </c>
      <c r="DL7" s="279"/>
      <c r="DM7" s="279"/>
      <c r="DN7" s="392">
        <f>WEO!BE17*1000</f>
        <v>55.684487349314196</v>
      </c>
      <c r="DO7" s="382"/>
      <c r="DP7" s="382"/>
      <c r="DQ7" s="382"/>
      <c r="DR7" s="438"/>
      <c r="DS7" s="438"/>
      <c r="DT7" s="438"/>
      <c r="DU7" s="438"/>
      <c r="DV7" s="438"/>
      <c r="DW7" s="438"/>
      <c r="DX7" s="438"/>
      <c r="DY7" s="438"/>
      <c r="DZ7" s="438"/>
      <c r="EA7" s="438"/>
      <c r="EB7" s="438"/>
      <c r="EC7" s="382"/>
      <c r="ED7" s="382"/>
      <c r="EE7" s="382"/>
      <c r="EF7" s="382"/>
      <c r="EG7" s="382"/>
      <c r="EH7" s="279"/>
      <c r="EI7" s="279"/>
      <c r="EM7" s="26" t="s">
        <v>5</v>
      </c>
      <c r="EN7" s="43" t="s">
        <v>6</v>
      </c>
      <c r="EO7" s="43" t="s">
        <v>6</v>
      </c>
      <c r="EP7" s="51" t="s">
        <v>6</v>
      </c>
      <c r="EQ7" s="45" t="s">
        <v>7</v>
      </c>
      <c r="ER7" s="26" t="s">
        <v>8</v>
      </c>
      <c r="ES7" s="45" t="s">
        <v>9</v>
      </c>
      <c r="ET7" s="45" t="s">
        <v>9</v>
      </c>
      <c r="EU7" s="45" t="s">
        <v>9</v>
      </c>
      <c r="EV7" s="26" t="s">
        <v>10</v>
      </c>
      <c r="EW7" s="108" t="s">
        <v>15</v>
      </c>
      <c r="EX7" s="26" t="s">
        <v>11</v>
      </c>
      <c r="EY7" s="1"/>
      <c r="FC7" s="212" t="str">
        <f>WEO!EM10</f>
        <v>Catering waste 1</v>
      </c>
      <c r="FD7" s="215" t="e">
        <f>#REF!</f>
        <v>#REF!</v>
      </c>
      <c r="FE7" s="215" t="e">
        <f>#REF!</f>
        <v>#REF!</v>
      </c>
      <c r="FF7" s="230">
        <f>WEO!EV19</f>
        <v>4.9387066852046635</v>
      </c>
      <c r="FG7" s="231" t="e">
        <f>#REF!</f>
        <v>#REF!</v>
      </c>
      <c r="FH7" s="232">
        <f>WEO!BF19</f>
        <v>2.2869292809460049</v>
      </c>
      <c r="FI7"/>
      <c r="FJ7" s="208"/>
      <c r="FK7" s="430"/>
      <c r="FL7" s="430"/>
      <c r="FM7" s="430"/>
      <c r="FN7" s="430"/>
      <c r="FO7" s="430"/>
      <c r="FP7" s="430"/>
      <c r="FQ7" s="430"/>
      <c r="FR7" s="430"/>
      <c r="FS7" s="430"/>
      <c r="FW7" s="427"/>
      <c r="FX7" s="427"/>
      <c r="FY7" s="427"/>
      <c r="FZ7" s="427"/>
      <c r="GA7" s="427"/>
      <c r="GB7" s="427"/>
      <c r="GC7" s="427"/>
      <c r="GD7" s="427"/>
      <c r="GE7" s="427"/>
      <c r="GF7" s="427"/>
      <c r="GG7" s="390"/>
      <c r="GH7"/>
      <c r="GI7"/>
      <c r="GJ7" s="408">
        <f>1833-919</f>
        <v>914</v>
      </c>
      <c r="GK7" s="339" t="s">
        <v>210</v>
      </c>
      <c r="GL7" s="339"/>
      <c r="GM7" s="409"/>
      <c r="GN7" s="409"/>
      <c r="GO7" s="409"/>
      <c r="GP7" s="410">
        <f>GJ7-GL18</f>
        <v>473.84503077927849</v>
      </c>
      <c r="GQ7" s="411"/>
    </row>
    <row r="8" spans="2:199" ht="47.25" customHeight="1" thickBot="1">
      <c r="B8" s="177" t="s">
        <v>120</v>
      </c>
      <c r="E8" s="186" t="s">
        <v>14</v>
      </c>
      <c r="F8" s="194">
        <v>0.76727297844908726</v>
      </c>
      <c r="G8" s="195">
        <v>0.43921990516565873</v>
      </c>
      <c r="H8" s="195">
        <v>0.65944156291519074</v>
      </c>
      <c r="I8" s="196">
        <v>1.8659344465299368</v>
      </c>
      <c r="J8"/>
      <c r="K8" s="306">
        <f>WEO!F8/WEO!$I8</f>
        <v>0.4112003933878699</v>
      </c>
      <c r="L8" s="307">
        <f>WEO!G8/WEO!$I8</f>
        <v>0.23538871152867799</v>
      </c>
      <c r="M8" s="307">
        <f>WEO!H8/WEO!$I8</f>
        <v>0.35341089508345208</v>
      </c>
      <c r="N8" s="308">
        <f>K8+L8</f>
        <v>0.64658910491654786</v>
      </c>
      <c r="R8" s="4" t="s">
        <v>14</v>
      </c>
      <c r="S8" s="8">
        <v>0.45679999999999998</v>
      </c>
      <c r="T8" s="85">
        <v>0.57399999999999995</v>
      </c>
      <c r="U8" s="8">
        <f>S8*T8</f>
        <v>0.26220319999999997</v>
      </c>
      <c r="V8" s="9">
        <f>WEO!K8</f>
        <v>0.4112003933878699</v>
      </c>
      <c r="W8" s="8">
        <f>U8/V8</f>
        <v>0.63765308646646535</v>
      </c>
      <c r="X8" s="199">
        <f>W8*285.9*0.75</f>
        <v>136.72876306557183</v>
      </c>
      <c r="Y8" s="8">
        <f>X8/3600</f>
        <v>3.7980211962658841E-2</v>
      </c>
      <c r="Z8" s="1"/>
      <c r="AA8" s="32"/>
      <c r="AB8" s="32"/>
      <c r="AC8" s="32"/>
      <c r="AD8" s="1"/>
      <c r="AE8" s="1"/>
      <c r="AF8" s="1"/>
      <c r="AG8" s="114"/>
      <c r="AH8" s="114"/>
      <c r="AI8" s="114"/>
      <c r="AJ8" s="114"/>
      <c r="AK8" s="1"/>
      <c r="AL8" s="1"/>
      <c r="AM8" s="1"/>
      <c r="AN8" s="1"/>
      <c r="AO8" s="1"/>
      <c r="AP8" s="1"/>
      <c r="AQ8" s="1"/>
      <c r="AR8" s="1"/>
      <c r="AS8" s="1"/>
      <c r="AW8" s="3" t="s">
        <v>12</v>
      </c>
      <c r="AX8" s="6">
        <f>S6</f>
        <v>0.63100000000000001</v>
      </c>
      <c r="AY8" s="3">
        <v>4.5979999999999999</v>
      </c>
      <c r="AZ8" s="52">
        <f>AX8+AY8</f>
        <v>5.2290000000000001</v>
      </c>
      <c r="BA8" s="47">
        <f>WEO!T6</f>
        <v>0.161</v>
      </c>
      <c r="BB8" s="6">
        <f>AZ8*BA8</f>
        <v>0.84186900000000009</v>
      </c>
      <c r="BC8" s="54">
        <f>WEO!V6</f>
        <v>0.31861774099894935</v>
      </c>
      <c r="BD8" s="6">
        <f>BB8/BC8</f>
        <v>2.6422539980370274</v>
      </c>
      <c r="BE8" s="109">
        <f>BD8*285.9*0.75</f>
        <v>566.56531352908962</v>
      </c>
      <c r="BF8" s="6">
        <f>BE8/3600</f>
        <v>0.15737925375808046</v>
      </c>
      <c r="BG8" s="320">
        <f>BF8/3</f>
        <v>5.2459751252693483E-2</v>
      </c>
      <c r="BH8" s="321">
        <f>(AX8/AZ8)*BD8</f>
        <v>0.31884916289182719</v>
      </c>
      <c r="BI8" s="328">
        <f>(AY8/AZ8)*BD8</f>
        <v>2.3234048351452001</v>
      </c>
      <c r="BJ8" s="330">
        <f>(BI8+BH8)/BH8</f>
        <v>8.2868462757527723</v>
      </c>
      <c r="BK8" s="1"/>
      <c r="BL8" s="326"/>
      <c r="BM8" s="114"/>
      <c r="BN8" s="114"/>
      <c r="BO8" s="1"/>
      <c r="BS8"/>
      <c r="BT8"/>
      <c r="BU8"/>
      <c r="BV8"/>
      <c r="BW8"/>
      <c r="BX8"/>
      <c r="BY8"/>
      <c r="BZ8"/>
      <c r="CA8"/>
      <c r="CB8"/>
      <c r="CF8" s="369" t="s">
        <v>88</v>
      </c>
      <c r="CG8" s="370">
        <v>5800</v>
      </c>
      <c r="CH8" s="371" t="s">
        <v>201</v>
      </c>
      <c r="CI8"/>
      <c r="CJ8" s="272">
        <v>0.8</v>
      </c>
      <c r="CK8" s="260" t="s">
        <v>9</v>
      </c>
      <c r="CL8" s="380" t="s">
        <v>31</v>
      </c>
      <c r="CP8" s="281" t="s">
        <v>122</v>
      </c>
      <c r="CQ8" s="289">
        <f>AVERAGE(CQ5:CQ7)</f>
        <v>1.6209668076224582E-3</v>
      </c>
      <c r="CR8" s="289">
        <f>AVERAGE(CR5:CR7)</f>
        <v>1.7964247459181244E-3</v>
      </c>
      <c r="CS8" s="289">
        <f>AVERAGE(CS5:CS7)</f>
        <v>4.3236519202402908E-2</v>
      </c>
      <c r="CT8" s="289">
        <f>AVERAGE(CT5:CT7)</f>
        <v>2.5769571343235542E-2</v>
      </c>
      <c r="CU8" s="280"/>
      <c r="CY8" s="136" t="s">
        <v>13</v>
      </c>
      <c r="CZ8" s="137">
        <f>WEO!BC18*1000</f>
        <v>2.8465578910161216</v>
      </c>
      <c r="DA8" s="138">
        <f>($CZ$3*CZ8)/$DB$3</f>
        <v>14232.789455080609</v>
      </c>
      <c r="DB8" s="139">
        <f>DA8/10000</f>
        <v>1.4232789455080608</v>
      </c>
      <c r="DC8" s="1"/>
      <c r="DD8" s="155">
        <f>WEO!BG18*1000</f>
        <v>132.37152470767572</v>
      </c>
      <c r="DE8" s="165">
        <f>DD8*$CZ$3</f>
        <v>661857.62353837863</v>
      </c>
      <c r="DF8" s="150">
        <f>DE8/(365.242199*24)</f>
        <v>75.504421603719933</v>
      </c>
      <c r="DG8" s="249">
        <f>DF8/DB8</f>
        <v>53.049630110819564</v>
      </c>
      <c r="DH8" s="156">
        <f>DG8*(365.242199*24)/1000</f>
        <v>465.02312538749646</v>
      </c>
      <c r="DL8" s="279"/>
      <c r="DM8" s="279"/>
      <c r="DN8" s="382"/>
      <c r="DO8" s="382"/>
      <c r="DP8" s="382"/>
      <c r="DQ8" s="382"/>
      <c r="DR8" s="438"/>
      <c r="DS8" s="438"/>
      <c r="DT8" s="438"/>
      <c r="DU8" s="438"/>
      <c r="DV8" s="438"/>
      <c r="DW8" s="438"/>
      <c r="DX8" s="438"/>
      <c r="DY8" s="438"/>
      <c r="DZ8" s="438"/>
      <c r="EA8" s="438"/>
      <c r="EB8" s="438"/>
      <c r="EC8" s="382"/>
      <c r="ED8" s="382"/>
      <c r="EE8" s="382"/>
      <c r="EF8" s="382"/>
      <c r="EG8" s="382"/>
      <c r="EH8" s="279"/>
      <c r="EI8" s="279"/>
      <c r="EM8" s="3" t="s">
        <v>12</v>
      </c>
      <c r="EN8" s="3">
        <v>0.63100000000000001</v>
      </c>
      <c r="EO8" s="3">
        <v>4.5979999999999999</v>
      </c>
      <c r="EP8" s="52">
        <f>EN8+EO8</f>
        <v>5.2290000000000001</v>
      </c>
      <c r="EQ8" s="47">
        <v>0.161</v>
      </c>
      <c r="ER8" s="6">
        <f>EP8*EQ8</f>
        <v>0.84186900000000009</v>
      </c>
      <c r="ES8" s="54">
        <f>WEO!K5</f>
        <v>0.31861774099894935</v>
      </c>
      <c r="ET8" s="54">
        <f>WEO!L5</f>
        <v>0.17878578619316771</v>
      </c>
      <c r="EU8" s="54">
        <f>WEO!M5</f>
        <v>0.50259647280788289</v>
      </c>
      <c r="EV8" s="6">
        <f>ER8*((ES8+ET8)/ES8)</f>
        <v>1.3142664583610908</v>
      </c>
      <c r="EW8" s="109">
        <f>EV8*285.9*0.75</f>
        <v>281.81158533407688</v>
      </c>
      <c r="EX8" s="6">
        <f>EW8/3600</f>
        <v>7.8280995926132468E-2</v>
      </c>
      <c r="EY8" s="1"/>
      <c r="FC8" s="216" t="s">
        <v>82</v>
      </c>
      <c r="FD8" s="217" t="e">
        <f>AVERAGE(FD5:FD7)</f>
        <v>#REF!</v>
      </c>
      <c r="FE8" s="217" t="e">
        <f>AVERAGE(FE5:FE7)</f>
        <v>#REF!</v>
      </c>
      <c r="FF8" s="217">
        <f>AVERAGE(FF5:FF7)</f>
        <v>4.7161717285539604</v>
      </c>
      <c r="FG8" s="217" t="e">
        <f>AVERAGE(FG5:FG7)</f>
        <v>#REF!</v>
      </c>
      <c r="FH8" s="217">
        <f>AVERAGE(FH5:FH7)</f>
        <v>2.4147695285945541</v>
      </c>
      <c r="FI8"/>
      <c r="FJ8"/>
      <c r="FK8" s="431" t="s">
        <v>186</v>
      </c>
      <c r="FL8" s="431"/>
      <c r="FM8" s="431"/>
      <c r="FN8" s="431"/>
      <c r="FO8" s="431"/>
      <c r="FP8" s="431"/>
      <c r="FQ8" s="431"/>
      <c r="FR8" s="431"/>
      <c r="FS8" s="431"/>
      <c r="FW8" s="336"/>
      <c r="FX8" s="336"/>
      <c r="FY8" s="336"/>
      <c r="FZ8" s="336"/>
      <c r="GA8" s="336"/>
      <c r="GB8" s="336"/>
      <c r="GC8" s="336"/>
      <c r="GD8" s="336"/>
      <c r="GE8" s="336"/>
      <c r="GF8" s="336"/>
      <c r="GG8" s="390"/>
      <c r="GH8"/>
      <c r="GI8"/>
      <c r="GJ8" s="412">
        <f>GJ7/3600</f>
        <v>0.25388888888888889</v>
      </c>
      <c r="GK8" s="339" t="s">
        <v>248</v>
      </c>
      <c r="GL8" s="339"/>
      <c r="GM8" s="409"/>
      <c r="GN8" s="409"/>
      <c r="GO8" s="409"/>
      <c r="GP8" s="341">
        <f>GP7/3600</f>
        <v>0.13162361966091068</v>
      </c>
      <c r="GQ8" s="411"/>
    </row>
    <row r="9" spans="2:199" ht="32.25" thickTop="1" thickBot="1">
      <c r="B9" s="177" t="s">
        <v>129</v>
      </c>
      <c r="E9" s="186" t="s">
        <v>136</v>
      </c>
      <c r="F9" s="315" t="s">
        <v>189</v>
      </c>
      <c r="G9" s="316" t="s">
        <v>189</v>
      </c>
      <c r="H9" s="187">
        <v>0.93001386158564459</v>
      </c>
      <c r="I9" s="188">
        <v>0.93001386158564459</v>
      </c>
      <c r="J9"/>
      <c r="K9" s="309"/>
      <c r="L9" s="310"/>
      <c r="M9" s="310">
        <f>WEO!H9/WEO!$I9</f>
        <v>1</v>
      </c>
      <c r="N9" s="311"/>
      <c r="R9" s="1"/>
      <c r="S9" s="1"/>
      <c r="T9" s="376" t="s">
        <v>226</v>
      </c>
      <c r="U9" s="1"/>
      <c r="V9" s="1"/>
      <c r="W9" s="1"/>
      <c r="X9" s="76" t="s">
        <v>141</v>
      </c>
      <c r="Y9" s="116">
        <f>AVERAGE(Y6:Y8)</f>
        <v>2.6754041642135146E-2</v>
      </c>
      <c r="Z9" s="1"/>
      <c r="AA9" s="1"/>
      <c r="AB9" s="1"/>
      <c r="AC9" s="1"/>
      <c r="AD9" s="1"/>
      <c r="AE9" s="1"/>
      <c r="AF9" s="1"/>
      <c r="AG9" s="1"/>
      <c r="AH9" s="1"/>
      <c r="AI9" s="1"/>
      <c r="AJ9" s="1"/>
      <c r="AK9" s="1"/>
      <c r="AL9" s="1"/>
      <c r="AM9" s="1"/>
      <c r="AN9" s="1"/>
      <c r="AO9" s="1"/>
      <c r="AP9" s="1"/>
      <c r="AQ9" s="1"/>
      <c r="AR9" s="1"/>
      <c r="AS9" s="1"/>
      <c r="AW9" s="3" t="s">
        <v>13</v>
      </c>
      <c r="AX9" s="6">
        <f>S7</f>
        <v>0.43319999999999997</v>
      </c>
      <c r="AY9" s="6">
        <v>4.2055999999999996</v>
      </c>
      <c r="AZ9" s="52">
        <f>AX9+AY9</f>
        <v>4.6387999999999998</v>
      </c>
      <c r="BA9" s="47">
        <f>WEO!T7</f>
        <v>0.29399999999999998</v>
      </c>
      <c r="BB9" s="6">
        <f>AZ9*BA9</f>
        <v>1.3638071999999999</v>
      </c>
      <c r="BC9" s="54">
        <f>WEO!V7</f>
        <v>0.32570965743218072</v>
      </c>
      <c r="BD9" s="6">
        <f>BB9/BC9</f>
        <v>4.1871868668308423</v>
      </c>
      <c r="BE9" s="109">
        <f>BD9*285.9*0.75</f>
        <v>897.83754392020319</v>
      </c>
      <c r="BF9" s="6">
        <f>BE9/3600</f>
        <v>0.249399317755612</v>
      </c>
      <c r="BG9" s="320">
        <f>BF9/3</f>
        <v>8.3133105918537328E-2</v>
      </c>
      <c r="BH9" s="321">
        <f>(AX9/AZ9)*BD9</f>
        <v>0.39102555633162045</v>
      </c>
      <c r="BI9" s="328">
        <f>(AY9/AZ9)*BD9</f>
        <v>3.7961613104992216</v>
      </c>
      <c r="BJ9" s="330">
        <f>(BI9+BH9)/BH9</f>
        <v>10.708217913204063</v>
      </c>
      <c r="BK9" s="1"/>
      <c r="BL9" s="327"/>
      <c r="BM9" s="114"/>
      <c r="BN9" s="114"/>
      <c r="BO9" s="1"/>
      <c r="BS9"/>
      <c r="BT9"/>
      <c r="BU9"/>
      <c r="BV9"/>
      <c r="BW9"/>
      <c r="BX9"/>
      <c r="BY9"/>
      <c r="BZ9"/>
      <c r="CA9"/>
      <c r="CB9"/>
      <c r="CF9" s="1"/>
      <c r="CG9" s="167">
        <f>CG8*365.242199</f>
        <v>2118404.7542000003</v>
      </c>
      <c r="CH9" s="114" t="s">
        <v>91</v>
      </c>
      <c r="CI9"/>
      <c r="CJ9" s="271">
        <f>CJ7/CJ8</f>
        <v>1667.1600898740821</v>
      </c>
      <c r="CK9" s="260" t="s">
        <v>57</v>
      </c>
      <c r="CL9" s="380" t="s">
        <v>32</v>
      </c>
      <c r="CP9"/>
      <c r="CQ9"/>
      <c r="CR9"/>
      <c r="CS9"/>
      <c r="CT9"/>
      <c r="CU9"/>
      <c r="CY9" s="140" t="s">
        <v>14</v>
      </c>
      <c r="CZ9" s="141">
        <f>WEO!BC19*1000</f>
        <v>0.80046273548928737</v>
      </c>
      <c r="DA9" s="142">
        <f>($CZ$3*CZ9)/$DB$3</f>
        <v>4002.3136774464369</v>
      </c>
      <c r="DB9" s="143">
        <f>DA9/10000</f>
        <v>0.40023136774464368</v>
      </c>
      <c r="DC9" s="1"/>
      <c r="DD9" s="157">
        <f>WEO!BG19*1000</f>
        <v>57.343208402328685</v>
      </c>
      <c r="DE9" s="166">
        <f>DD9*$CZ$3</f>
        <v>286716.04201164341</v>
      </c>
      <c r="DF9" s="158">
        <f>DE9/(365.242199*24)</f>
        <v>32.708437807004721</v>
      </c>
      <c r="DG9" s="365">
        <f>DF9/DB9</f>
        <v>81.723823875477478</v>
      </c>
      <c r="DH9" s="159">
        <f>DG9*(365.242199*24)/1000</f>
        <v>716.37573943123448</v>
      </c>
      <c r="DL9" s="279"/>
      <c r="DM9" s="279"/>
      <c r="DN9" s="382"/>
      <c r="DO9" s="382"/>
      <c r="DP9" s="382"/>
      <c r="DQ9" s="382"/>
      <c r="DR9" s="438"/>
      <c r="DS9" s="438"/>
      <c r="DT9" s="438"/>
      <c r="DU9" s="438"/>
      <c r="DV9" s="438"/>
      <c r="DW9" s="438"/>
      <c r="DX9" s="438"/>
      <c r="DY9" s="438"/>
      <c r="DZ9" s="438"/>
      <c r="EA9" s="438"/>
      <c r="EB9" s="438"/>
      <c r="EC9" s="382"/>
      <c r="ED9" s="382"/>
      <c r="EE9" s="382"/>
      <c r="EF9" s="382"/>
      <c r="EG9" s="382"/>
      <c r="EH9" s="279"/>
      <c r="EI9" s="279"/>
      <c r="EM9" s="3" t="s">
        <v>13</v>
      </c>
      <c r="EN9" s="6">
        <v>0.43319999999999997</v>
      </c>
      <c r="EO9" s="6">
        <v>4.2055999999999996</v>
      </c>
      <c r="EP9" s="52">
        <f>EN9+EO9</f>
        <v>4.6387999999999998</v>
      </c>
      <c r="EQ9" s="47">
        <v>0.29399999999999998</v>
      </c>
      <c r="ER9" s="6">
        <f>EP9*EQ9</f>
        <v>1.3638071999999999</v>
      </c>
      <c r="ES9" s="54">
        <f>WEO!K6</f>
        <v>0.32570965743218072</v>
      </c>
      <c r="ET9" s="54">
        <f>WEO!L6</f>
        <v>0.48272313064871547</v>
      </c>
      <c r="EU9" s="54">
        <f>WEO!M6</f>
        <v>0.19156721191910395</v>
      </c>
      <c r="EV9" s="6">
        <f>ER9*((ES9+ET9)/ES9)</f>
        <v>3.3850591529677705</v>
      </c>
      <c r="EW9" s="109">
        <f>EV9*285.9*0.75</f>
        <v>725.84130887511412</v>
      </c>
      <c r="EX9" s="6">
        <f>EW9/3600</f>
        <v>0.20162258579864281</v>
      </c>
      <c r="EY9" s="1"/>
      <c r="FC9" s="210"/>
      <c r="FD9" s="211"/>
      <c r="FE9" s="211"/>
      <c r="FF9" s="211"/>
      <c r="FG9" s="211"/>
      <c r="FH9" s="211"/>
      <c r="FI9"/>
      <c r="FJ9"/>
      <c r="FK9" s="431"/>
      <c r="FL9" s="431"/>
      <c r="FM9" s="431"/>
      <c r="FN9" s="431"/>
      <c r="FO9" s="431"/>
      <c r="FP9" s="431"/>
      <c r="FQ9" s="431"/>
      <c r="FR9" s="431"/>
      <c r="FS9" s="431"/>
      <c r="FW9" s="399" t="s">
        <v>214</v>
      </c>
      <c r="FX9" s="390"/>
      <c r="FY9" s="390"/>
      <c r="FZ9" s="400">
        <v>1833</v>
      </c>
      <c r="GA9" s="401" t="s">
        <v>213</v>
      </c>
      <c r="GB9" s="363">
        <f>1833/(919+GL18)</f>
        <v>1.3486320850160007</v>
      </c>
      <c r="GG9" s="390"/>
      <c r="GH9"/>
      <c r="GI9"/>
      <c r="GJ9" s="413">
        <f>GI18/1000</f>
        <v>0.22845038780112609</v>
      </c>
      <c r="GK9" s="414" t="s">
        <v>249</v>
      </c>
      <c r="GL9" s="339"/>
      <c r="GM9" s="409"/>
      <c r="GN9" s="409"/>
      <c r="GO9" s="409"/>
      <c r="GP9" s="415">
        <f>GI18/1000</f>
        <v>0.22845038780112609</v>
      </c>
      <c r="GQ9" s="411"/>
    </row>
    <row r="10" spans="2:199" ht="30.75" thickBot="1">
      <c r="B10" s="177" t="s">
        <v>125</v>
      </c>
      <c r="E10" s="186" t="s">
        <v>137</v>
      </c>
      <c r="F10" s="315" t="s">
        <v>189</v>
      </c>
      <c r="G10" s="316" t="s">
        <v>189</v>
      </c>
      <c r="H10" s="187">
        <v>5.9895970921606301</v>
      </c>
      <c r="I10" s="188">
        <v>5.9895970921606301</v>
      </c>
      <c r="J10"/>
      <c r="K10" s="309"/>
      <c r="L10" s="310"/>
      <c r="M10" s="310">
        <f>WEO!H10/WEO!$I10</f>
        <v>1</v>
      </c>
      <c r="N10" s="311"/>
      <c r="R10" s="1"/>
      <c r="S10" s="1"/>
      <c r="T10" s="172"/>
      <c r="U10" s="114"/>
      <c r="V10" s="114"/>
      <c r="W10" s="114"/>
      <c r="X10" s="171"/>
      <c r="Y10" s="171"/>
      <c r="Z10" s="116"/>
      <c r="AA10" s="1"/>
      <c r="AB10" s="1"/>
      <c r="AC10" s="1"/>
      <c r="AD10" s="1"/>
      <c r="AE10" s="1"/>
      <c r="AF10" s="1"/>
      <c r="AG10" s="1"/>
      <c r="AH10" s="1"/>
      <c r="AI10" s="1"/>
      <c r="AJ10" s="1"/>
      <c r="AK10" s="1"/>
      <c r="AL10" s="1"/>
      <c r="AM10" s="1"/>
      <c r="AN10" s="1"/>
      <c r="AO10" s="1"/>
      <c r="AP10" s="1"/>
      <c r="AQ10" s="1"/>
      <c r="AR10" s="1"/>
      <c r="AS10" s="1"/>
      <c r="AW10" s="2" t="s">
        <v>14</v>
      </c>
      <c r="AX10" s="20">
        <f>S8</f>
        <v>0.45679999999999998</v>
      </c>
      <c r="AY10" s="20">
        <v>0.76880000000000004</v>
      </c>
      <c r="AZ10" s="53">
        <f>AX10+AY10</f>
        <v>1.2256</v>
      </c>
      <c r="BA10" s="50">
        <f>WEO!T8</f>
        <v>0.57399999999999995</v>
      </c>
      <c r="BB10" s="20">
        <f>AZ10*BA10</f>
        <v>0.70349439999999996</v>
      </c>
      <c r="BC10" s="55">
        <f>WEO!V8</f>
        <v>0.4112003933878699</v>
      </c>
      <c r="BD10" s="20">
        <f>BB10/BC10</f>
        <v>1.7108310481026707</v>
      </c>
      <c r="BE10" s="110">
        <f>BD10*285.9*0.75</f>
        <v>366.84494748941518</v>
      </c>
      <c r="BF10" s="20">
        <f>BE10/3600</f>
        <v>0.10190137430261532</v>
      </c>
      <c r="BG10" s="320">
        <f>BF10/3</f>
        <v>3.3967124767538444E-2</v>
      </c>
      <c r="BH10" s="322">
        <f>(AX10/AZ10)*BD10</f>
        <v>0.63765308646646535</v>
      </c>
      <c r="BI10" s="329">
        <f>(AY10/AZ10)*BD10</f>
        <v>1.0731779616362054</v>
      </c>
      <c r="BJ10" s="330">
        <f>(BI10+BH10)/BH10</f>
        <v>2.6830122591943959</v>
      </c>
      <c r="BK10" s="1"/>
      <c r="BL10" s="148"/>
      <c r="BM10" s="1"/>
      <c r="BN10" s="1"/>
      <c r="BO10" s="1"/>
      <c r="BS10" s="25"/>
      <c r="BT10" s="33"/>
      <c r="BU10" s="1"/>
      <c r="BV10"/>
      <c r="BW10"/>
      <c r="BX10"/>
      <c r="BY10"/>
      <c r="BZ10"/>
      <c r="CA10"/>
      <c r="CB10"/>
      <c r="CF10" s="1"/>
      <c r="CG10" s="167">
        <f>CG9/1000</f>
        <v>2118.4047542000003</v>
      </c>
      <c r="CH10" s="114" t="s">
        <v>28</v>
      </c>
      <c r="CI10"/>
      <c r="CJ10"/>
      <c r="CK10"/>
      <c r="CL10"/>
      <c r="CP10"/>
      <c r="CQ10"/>
      <c r="CR10"/>
      <c r="CS10"/>
      <c r="CT10"/>
      <c r="CU10"/>
      <c r="CY10" s="87" t="s">
        <v>122</v>
      </c>
      <c r="CZ10" s="160">
        <f>AVERAGE(CZ7:CZ9)</f>
        <v>1.7964247459181244</v>
      </c>
      <c r="DA10" s="161">
        <f>AVERAGE(DA7:DA9)</f>
        <v>8982.123729590623</v>
      </c>
      <c r="DB10" s="160">
        <f>AVERAGE(DB7:DB9)</f>
        <v>0.89821237295906231</v>
      </c>
      <c r="DC10" s="160"/>
      <c r="DD10" s="160">
        <f>AVERAGE(DD7:DD9)</f>
        <v>97.136499839590215</v>
      </c>
      <c r="DE10" s="161">
        <f>AVERAGE(DE7:DE9)</f>
        <v>485682.49919795105</v>
      </c>
      <c r="DF10" s="160">
        <f>AVERAGE(DF7:DF9)</f>
        <v>55.406442232910301</v>
      </c>
      <c r="DG10" s="366">
        <f>AVERAGE(DG7:DG9)</f>
        <v>67.120437043728586</v>
      </c>
      <c r="DH10" s="160">
        <f>AVERAGE(DH7:DH9)</f>
        <v>588.36518456861984</v>
      </c>
      <c r="DL10" s="279"/>
      <c r="DM10" s="279"/>
      <c r="DN10" s="382"/>
      <c r="DO10" s="382"/>
      <c r="DP10" s="382"/>
      <c r="DQ10" s="382"/>
      <c r="DR10" s="382"/>
      <c r="DS10" s="382"/>
      <c r="DT10" s="382"/>
      <c r="DU10" s="382"/>
      <c r="DV10" s="382"/>
      <c r="DW10" s="382"/>
      <c r="DX10" s="382"/>
      <c r="DY10" s="382"/>
      <c r="DZ10" s="382"/>
      <c r="EA10" s="382"/>
      <c r="EB10" s="382"/>
      <c r="EC10" s="382"/>
      <c r="ED10" s="382"/>
      <c r="EE10" s="382"/>
      <c r="EF10" s="384">
        <f>DN7</f>
        <v>55.684487349314196</v>
      </c>
      <c r="EG10" s="382"/>
      <c r="EH10" s="279"/>
      <c r="EI10" s="279"/>
      <c r="EM10" s="2" t="s">
        <v>14</v>
      </c>
      <c r="EN10" s="20">
        <v>0.45679999999999998</v>
      </c>
      <c r="EO10" s="20">
        <v>0.76880000000000004</v>
      </c>
      <c r="EP10" s="53">
        <f>EN10+EO10</f>
        <v>1.2256</v>
      </c>
      <c r="EQ10" s="50">
        <v>0.57399999999999995</v>
      </c>
      <c r="ER10" s="20">
        <f>EP10*EQ10</f>
        <v>0.70349439999999996</v>
      </c>
      <c r="ES10" s="54">
        <f>WEO!K8</f>
        <v>0.4112003933878699</v>
      </c>
      <c r="ET10" s="54">
        <f>WEO!L8</f>
        <v>0.23538871152867799</v>
      </c>
      <c r="EU10" s="55">
        <f>WEO!M8</f>
        <v>0.35341089508345208</v>
      </c>
      <c r="EV10" s="6">
        <f>ER10*((ES10+ET10)/ES10)</f>
        <v>1.1062047160561452</v>
      </c>
      <c r="EW10" s="110">
        <f>EV10*285.9*0.75</f>
        <v>237.19794624033892</v>
      </c>
      <c r="EX10" s="20">
        <f>EW10/3600</f>
        <v>6.588831840009414E-2</v>
      </c>
      <c r="EY10" s="1"/>
      <c r="FC10" s="218"/>
      <c r="FD10" s="218"/>
      <c r="FE10" s="218"/>
      <c r="FF10" s="219" t="s">
        <v>170</v>
      </c>
      <c r="FG10" s="218"/>
      <c r="FH10" s="218"/>
      <c r="FI10"/>
      <c r="FJ10"/>
      <c r="FK10" s="431"/>
      <c r="FL10" s="431"/>
      <c r="FM10" s="431"/>
      <c r="FN10" s="431"/>
      <c r="FO10" s="431"/>
      <c r="FP10" s="431"/>
      <c r="FQ10" s="431"/>
      <c r="FR10" s="431"/>
      <c r="FS10" s="431"/>
      <c r="FW10" s="390"/>
      <c r="FX10" s="390"/>
      <c r="FY10" s="390"/>
      <c r="FZ10" s="398" t="s">
        <v>211</v>
      </c>
      <c r="GA10" s="390"/>
      <c r="GB10" s="390"/>
      <c r="GC10" s="390"/>
      <c r="GD10" s="390"/>
      <c r="GE10" s="390"/>
      <c r="GF10" s="390"/>
      <c r="GG10" s="390"/>
      <c r="GH10"/>
      <c r="GI10"/>
      <c r="GJ10" s="416">
        <f>(GJ9*GJ8)</f>
        <v>5.8001015125063678E-2</v>
      </c>
      <c r="GK10" s="409" t="s">
        <v>250</v>
      </c>
      <c r="GL10" s="339"/>
      <c r="GM10" s="409"/>
      <c r="GN10" s="409"/>
      <c r="GO10" s="409"/>
      <c r="GP10" s="417">
        <f>(GP9*GP8)</f>
        <v>3.006946695532297E-2</v>
      </c>
      <c r="GQ10" s="411"/>
    </row>
    <row r="11" spans="2:199" ht="61.5" thickBot="1">
      <c r="B11" s="177" t="s">
        <v>199</v>
      </c>
      <c r="E11" s="67" t="s">
        <v>138</v>
      </c>
      <c r="F11" s="317" t="s">
        <v>189</v>
      </c>
      <c r="G11" s="318" t="s">
        <v>189</v>
      </c>
      <c r="H11" s="189">
        <v>1.0728132689318759</v>
      </c>
      <c r="I11" s="190">
        <v>1.0728132689318759</v>
      </c>
      <c r="J11"/>
      <c r="K11" s="312"/>
      <c r="L11" s="313"/>
      <c r="M11" s="313">
        <f>WEO!H11/WEO!$I11</f>
        <v>1</v>
      </c>
      <c r="N11" s="314"/>
      <c r="R11" s="169" t="s">
        <v>113</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W11" s="1"/>
      <c r="AX11" s="1"/>
      <c r="AY11" s="1"/>
      <c r="AZ11" s="75" t="s">
        <v>142</v>
      </c>
      <c r="BA11" s="1"/>
      <c r="BB11" s="1"/>
      <c r="BC11" s="76" t="s">
        <v>224</v>
      </c>
      <c r="BD11" s="1"/>
      <c r="BE11" s="76" t="s">
        <v>86</v>
      </c>
      <c r="BF11" s="324">
        <f>AVERAGE(BF8:BF10)</f>
        <v>0.16955998193876928</v>
      </c>
      <c r="BG11" s="325" t="s">
        <v>82</v>
      </c>
      <c r="BH11" s="323">
        <f>AVERAGE(BH8:BH10)</f>
        <v>0.44917593522997096</v>
      </c>
      <c r="BI11" s="323">
        <f>AVERAGE(BI8:BI10)</f>
        <v>2.3975813690935426</v>
      </c>
      <c r="BJ11" s="331">
        <f>AVERAGE(BJ8:BJ10)</f>
        <v>7.2260254827170769</v>
      </c>
      <c r="BK11" s="1"/>
      <c r="BL11" s="1"/>
      <c r="BM11" s="1"/>
      <c r="BN11" s="1"/>
      <c r="BO11" s="1"/>
      <c r="BS11" s="1" t="s">
        <v>48</v>
      </c>
      <c r="BT11" s="34">
        <f>WEO!CB7</f>
        <v>1.0184027777777787E-2</v>
      </c>
      <c r="BU11" s="1" t="s">
        <v>49</v>
      </c>
      <c r="BV11"/>
      <c r="BW11"/>
      <c r="BX11"/>
      <c r="BY11"/>
      <c r="BZ11"/>
      <c r="CA11"/>
      <c r="CB11"/>
      <c r="CF11" s="1"/>
      <c r="CG11" s="375">
        <f>CG10/1000</f>
        <v>2.1184047542000002</v>
      </c>
      <c r="CH11" s="115" t="s">
        <v>218</v>
      </c>
      <c r="CI11"/>
      <c r="CJ11"/>
      <c r="CK11"/>
      <c r="CL11"/>
      <c r="CP11"/>
      <c r="CQ11"/>
      <c r="CR11"/>
      <c r="CS11"/>
      <c r="CT11"/>
      <c r="CU11"/>
      <c r="DL11" s="279"/>
      <c r="DM11" s="279"/>
      <c r="DN11" s="382"/>
      <c r="DO11" s="382"/>
      <c r="DP11" s="382"/>
      <c r="DQ11" s="387">
        <f>WEO!U15*1000</f>
        <v>31.830471634365054</v>
      </c>
      <c r="DR11" s="382"/>
      <c r="DS11" s="382"/>
      <c r="DT11" s="382"/>
      <c r="DU11" s="388">
        <f>WEO!AC15*1000</f>
        <v>0.80425902314677533</v>
      </c>
      <c r="DV11" s="382"/>
      <c r="DW11" s="382"/>
      <c r="DX11" s="388">
        <f>WEO!Y15*1000</f>
        <v>21.307503080553396</v>
      </c>
      <c r="DY11" s="382"/>
      <c r="DZ11" s="382"/>
      <c r="EA11" s="382"/>
      <c r="EB11" s="382"/>
      <c r="EC11" s="387">
        <f>WEO!BD17*1000</f>
        <v>1.7422536112489639</v>
      </c>
      <c r="ED11" s="382"/>
      <c r="EE11" s="382"/>
      <c r="EF11" s="382"/>
      <c r="EG11" s="382"/>
      <c r="EH11" s="279"/>
      <c r="EI11" s="279"/>
      <c r="EM11" s="1"/>
      <c r="EN11" s="1"/>
      <c r="EO11" s="1"/>
      <c r="EP11" s="75" t="s">
        <v>142</v>
      </c>
      <c r="EQ11" s="1"/>
      <c r="ER11" s="1"/>
      <c r="ES11" s="1"/>
      <c r="ET11" s="1"/>
      <c r="EU11" s="76" t="s">
        <v>55</v>
      </c>
      <c r="EV11" s="1"/>
      <c r="EW11" s="76" t="s">
        <v>86</v>
      </c>
      <c r="EX11" s="116">
        <f>AVERAGE(EX8:EX10)</f>
        <v>0.1152639667082898</v>
      </c>
      <c r="EY11" s="87" t="s">
        <v>82</v>
      </c>
      <c r="FC11" s="218"/>
      <c r="FD11" s="220"/>
      <c r="FE11" s="220"/>
      <c r="FF11" s="220" t="s">
        <v>168</v>
      </c>
      <c r="FG11" s="220"/>
      <c r="FH11" s="220" t="s">
        <v>238</v>
      </c>
      <c r="FI11" t="s">
        <v>171</v>
      </c>
      <c r="FJ11"/>
      <c r="FK11" s="292" t="s">
        <v>240</v>
      </c>
      <c r="FL11" s="292"/>
      <c r="FM11" s="292"/>
      <c r="FN11" s="292"/>
      <c r="FO11" s="292"/>
      <c r="FP11" s="292"/>
      <c r="FQ11" s="292"/>
      <c r="FR11" s="292"/>
      <c r="FS11" s="292"/>
      <c r="FW11"/>
      <c r="FX11"/>
      <c r="FY11"/>
      <c r="FZ11"/>
      <c r="GA11"/>
      <c r="GB11"/>
      <c r="GC11"/>
      <c r="GD11"/>
      <c r="GE11"/>
      <c r="GF11"/>
      <c r="GG11"/>
      <c r="GH11"/>
      <c r="GI11"/>
      <c r="GJ11" s="418">
        <f>GJ10*1000</f>
        <v>58.001015125063681</v>
      </c>
      <c r="GK11" s="419" t="s">
        <v>251</v>
      </c>
      <c r="GL11" s="420"/>
      <c r="GM11" s="421"/>
      <c r="GN11" s="421"/>
      <c r="GO11" s="421"/>
      <c r="GP11" s="422">
        <f>GP10*1000</f>
        <v>30.069466955322969</v>
      </c>
      <c r="GQ11" s="423" t="s">
        <v>254</v>
      </c>
    </row>
    <row r="12" spans="2:199" ht="30.75" thickBot="1">
      <c r="B12" s="177" t="s">
        <v>241</v>
      </c>
      <c r="E12" s="457" t="s">
        <v>188</v>
      </c>
      <c r="F12" s="458"/>
      <c r="G12" s="458"/>
      <c r="H12" s="458"/>
      <c r="I12" s="458"/>
      <c r="J12"/>
      <c r="K12"/>
      <c r="L12"/>
      <c r="M12"/>
      <c r="N12"/>
      <c r="R12" s="1"/>
      <c r="S12" s="1"/>
      <c r="T12" s="1"/>
      <c r="U12" s="1"/>
      <c r="V12" s="1"/>
      <c r="W12" s="1"/>
      <c r="X12" s="1"/>
      <c r="Y12" s="1"/>
      <c r="Z12" s="1"/>
      <c r="AA12" s="1"/>
      <c r="AB12" s="1"/>
      <c r="AC12" s="1"/>
      <c r="AD12" s="1"/>
      <c r="AE12" s="1"/>
      <c r="AF12" s="1"/>
      <c r="AG12" s="459" t="s">
        <v>131</v>
      </c>
      <c r="AH12" s="459"/>
      <c r="AI12" s="1"/>
      <c r="AJ12" s="459" t="s">
        <v>132</v>
      </c>
      <c r="AK12" s="459"/>
      <c r="AL12" s="1"/>
      <c r="AM12" s="459" t="s">
        <v>164</v>
      </c>
      <c r="AN12" s="459"/>
      <c r="AO12" s="1"/>
      <c r="AP12" s="459" t="s">
        <v>174</v>
      </c>
      <c r="AQ12" s="459"/>
      <c r="AR12" s="1"/>
      <c r="AS12" s="1"/>
      <c r="AW12" s="1"/>
      <c r="AX12" s="1"/>
      <c r="AY12" s="1"/>
      <c r="AZ12" s="114"/>
      <c r="BA12" s="114"/>
      <c r="BB12" s="114"/>
      <c r="BC12" s="171"/>
      <c r="BD12" s="114"/>
      <c r="BE12" s="171"/>
      <c r="BF12" s="116"/>
      <c r="BG12" s="87"/>
      <c r="BH12" s="117"/>
      <c r="BI12" s="1"/>
      <c r="BJ12" s="117"/>
      <c r="BK12" s="1"/>
      <c r="BL12" s="1"/>
      <c r="BM12" s="1"/>
      <c r="BN12" s="1"/>
      <c r="BO12" s="1"/>
      <c r="BS12" s="1" t="s">
        <v>192</v>
      </c>
      <c r="BT12" s="1"/>
      <c r="BU12" s="1"/>
      <c r="BV12"/>
      <c r="BW12"/>
      <c r="BX12"/>
      <c r="BY12"/>
      <c r="BZ12"/>
      <c r="CA12"/>
      <c r="CB12"/>
      <c r="CP12"/>
      <c r="CQ12"/>
      <c r="CR12"/>
      <c r="CS12"/>
      <c r="CT12"/>
      <c r="CU12"/>
      <c r="DL12" s="279"/>
      <c r="DM12" s="279"/>
      <c r="DN12" s="382"/>
      <c r="DO12" s="382"/>
      <c r="DP12" s="382"/>
      <c r="DQ12" s="382"/>
      <c r="DR12" s="382"/>
      <c r="DS12" s="382"/>
      <c r="DT12" s="382"/>
      <c r="DU12" s="382"/>
      <c r="DV12" s="382"/>
      <c r="DW12" s="382"/>
      <c r="DX12" s="382"/>
      <c r="DY12" s="382"/>
      <c r="DZ12" s="382"/>
      <c r="EA12" s="382"/>
      <c r="EB12" s="382"/>
      <c r="EC12" s="382"/>
      <c r="ED12" s="382"/>
      <c r="EE12" s="382"/>
      <c r="EF12" s="382"/>
      <c r="EG12" s="382"/>
      <c r="EH12" s="279"/>
      <c r="EI12" s="279"/>
      <c r="EM12" s="1"/>
      <c r="EN12" s="1"/>
      <c r="EO12" s="1"/>
      <c r="EP12" s="114"/>
      <c r="EQ12" s="114"/>
      <c r="ER12" s="114"/>
      <c r="ES12" s="171"/>
      <c r="ET12" s="114"/>
      <c r="EU12" s="171"/>
      <c r="EV12" s="116"/>
      <c r="EW12" s="87"/>
      <c r="EX12" s="117"/>
      <c r="EY12" s="1"/>
      <c r="FC12" s="218" t="str">
        <f>FC5</f>
        <v>Wholesalers mango</v>
      </c>
      <c r="FD12" s="221"/>
      <c r="FE12" s="221"/>
      <c r="FF12" s="233">
        <f>0.65+0.15</f>
        <v>0.8</v>
      </c>
      <c r="FG12" s="234"/>
      <c r="FH12" s="235">
        <f>0.15+0.02</f>
        <v>0.16999999999999998</v>
      </c>
      <c r="FI12" s="197">
        <f>1-(FH12/FF12)</f>
        <v>0.78750000000000009</v>
      </c>
      <c r="FJ12"/>
      <c r="FK12" s="297">
        <f>1-FH12</f>
        <v>0.83000000000000007</v>
      </c>
      <c r="FL12" s="292"/>
      <c r="FM12" s="292"/>
      <c r="FN12" s="292"/>
      <c r="FO12" s="292"/>
      <c r="FP12" s="292"/>
      <c r="FQ12" s="292"/>
      <c r="FR12" s="292"/>
      <c r="FS12" s="292"/>
      <c r="FW12" s="338" t="s">
        <v>203</v>
      </c>
      <c r="FX12"/>
      <c r="FY12"/>
      <c r="FZ12"/>
      <c r="GA12"/>
      <c r="GB12"/>
      <c r="GC12"/>
      <c r="GD12"/>
      <c r="GE12"/>
      <c r="GF12"/>
      <c r="GG12"/>
      <c r="GH12"/>
      <c r="GI12"/>
      <c r="GJ12"/>
      <c r="GK12"/>
      <c r="GL12"/>
    </row>
    <row r="13" spans="2:199" ht="46.5" thickTop="1" thickBot="1">
      <c r="B13" s="177" t="s">
        <v>198</v>
      </c>
      <c r="E13" s="427"/>
      <c r="F13" s="427"/>
      <c r="G13" s="427"/>
      <c r="H13" s="427"/>
      <c r="I13" s="427"/>
      <c r="J13"/>
      <c r="K13"/>
      <c r="L13"/>
      <c r="M13"/>
      <c r="N13"/>
      <c r="R13" s="10" t="s">
        <v>0</v>
      </c>
      <c r="S13" s="460" t="s">
        <v>44</v>
      </c>
      <c r="T13" s="460"/>
      <c r="U13" s="460"/>
      <c r="V13" s="460" t="s">
        <v>45</v>
      </c>
      <c r="W13" s="460"/>
      <c r="X13" s="460"/>
      <c r="Y13" s="460"/>
      <c r="Z13" s="460" t="s">
        <v>111</v>
      </c>
      <c r="AA13" s="460"/>
      <c r="AB13" s="460"/>
      <c r="AC13" s="460"/>
      <c r="AD13" s="10" t="s">
        <v>46</v>
      </c>
      <c r="AE13" s="10" t="s">
        <v>41</v>
      </c>
      <c r="AF13" s="1"/>
      <c r="AG13" s="203" t="s">
        <v>151</v>
      </c>
      <c r="AH13" s="203" t="s">
        <v>150</v>
      </c>
      <c r="AI13" s="1"/>
      <c r="AJ13" s="203" t="s">
        <v>151</v>
      </c>
      <c r="AK13" s="203" t="s">
        <v>150</v>
      </c>
      <c r="AL13" s="1"/>
      <c r="AM13" s="203" t="s">
        <v>151</v>
      </c>
      <c r="AN13" s="203" t="s">
        <v>150</v>
      </c>
      <c r="AO13" s="1"/>
      <c r="AP13" s="203" t="s">
        <v>151</v>
      </c>
      <c r="AQ13" s="203" t="s">
        <v>150</v>
      </c>
      <c r="AR13" s="1"/>
      <c r="AS13" s="1"/>
      <c r="AW13" s="168" t="s">
        <v>242</v>
      </c>
      <c r="AX13" s="1"/>
      <c r="AY13" s="1"/>
      <c r="AZ13" s="1"/>
      <c r="BA13" s="1"/>
      <c r="BB13" s="1"/>
      <c r="BC13" s="1"/>
      <c r="BD13" s="1"/>
      <c r="BE13" s="1"/>
      <c r="BF13" s="1"/>
      <c r="BG13" s="1"/>
      <c r="BH13" s="1"/>
      <c r="BI13" s="1"/>
      <c r="BJ13" s="1"/>
      <c r="BK13" s="294" t="s">
        <v>187</v>
      </c>
      <c r="BL13" s="295"/>
      <c r="BM13" s="295"/>
      <c r="BN13" s="296">
        <v>0.95</v>
      </c>
      <c r="BO13" s="1"/>
      <c r="CP13"/>
      <c r="CQ13"/>
      <c r="CR13"/>
      <c r="CS13"/>
      <c r="CT13"/>
      <c r="CU13"/>
      <c r="DL13" s="279"/>
      <c r="DM13" s="279"/>
      <c r="DN13" s="382"/>
      <c r="DO13" s="382"/>
      <c r="DP13" s="382"/>
      <c r="DQ13" s="382"/>
      <c r="DR13" s="382"/>
      <c r="DS13" s="382"/>
      <c r="DT13" s="382"/>
      <c r="DU13" s="382"/>
      <c r="DV13" s="382"/>
      <c r="DW13" s="382"/>
      <c r="DX13" s="382"/>
      <c r="DY13" s="382"/>
      <c r="DZ13" s="382"/>
      <c r="EA13" s="382"/>
      <c r="EB13" s="382"/>
      <c r="EC13" s="382"/>
      <c r="ED13" s="382"/>
      <c r="EE13" s="382"/>
      <c r="EF13" s="382"/>
      <c r="EG13" s="382"/>
      <c r="EH13" s="279"/>
      <c r="EI13" s="279"/>
      <c r="EM13" s="168" t="s">
        <v>243</v>
      </c>
      <c r="EN13" s="1"/>
      <c r="EO13" s="1"/>
      <c r="EP13" s="1"/>
      <c r="EQ13" s="1"/>
      <c r="ER13" s="1"/>
      <c r="ES13" s="1"/>
      <c r="ET13" s="1"/>
      <c r="EU13" s="1"/>
      <c r="EV13" s="1"/>
      <c r="EW13" s="1"/>
      <c r="EX13" s="1"/>
      <c r="EY13" s="1"/>
      <c r="FC13" s="218" t="str">
        <f>FC6</f>
        <v>Wholesalers asian pear</v>
      </c>
      <c r="FD13" s="221"/>
      <c r="FE13" s="221"/>
      <c r="FF13" s="236">
        <f>0.52</f>
        <v>0.52</v>
      </c>
      <c r="FG13" s="237"/>
      <c r="FH13" s="238">
        <v>0.01</v>
      </c>
      <c r="FI13" s="197">
        <f>1-(FH13/FF13)</f>
        <v>0.98076923076923073</v>
      </c>
      <c r="FJ13"/>
      <c r="FK13" s="297">
        <f>1-FH13</f>
        <v>0.99</v>
      </c>
      <c r="FL13" s="293"/>
      <c r="FM13" s="293"/>
      <c r="FN13" s="293"/>
      <c r="FO13" s="293"/>
      <c r="FP13" s="293"/>
      <c r="FQ13" s="293"/>
      <c r="FR13" s="293"/>
      <c r="FS13" s="293"/>
      <c r="FW13" s="338"/>
      <c r="FX13"/>
      <c r="FY13"/>
      <c r="FZ13" s="425" t="s">
        <v>205</v>
      </c>
      <c r="GA13" s="426"/>
      <c r="GB13" s="441"/>
      <c r="GC13" s="425" t="s">
        <v>206</v>
      </c>
      <c r="GD13" s="426"/>
      <c r="GE13" s="426"/>
      <c r="GF13" s="425" t="s">
        <v>209</v>
      </c>
      <c r="GG13" s="426"/>
      <c r="GH13" s="426"/>
      <c r="GI13" s="441"/>
      <c r="GJ13" s="426" t="s">
        <v>207</v>
      </c>
      <c r="GK13" s="426"/>
      <c r="GL13" s="441"/>
    </row>
    <row r="14" spans="2:199" ht="60" thickBot="1">
      <c r="B14" s="177" t="s">
        <v>124</v>
      </c>
      <c r="E14" s="427"/>
      <c r="F14" s="427"/>
      <c r="G14" s="427"/>
      <c r="H14" s="427"/>
      <c r="I14" s="427"/>
      <c r="J14"/>
      <c r="K14"/>
      <c r="L14"/>
      <c r="M14"/>
      <c r="N14"/>
      <c r="R14" s="2" t="s">
        <v>5</v>
      </c>
      <c r="S14" s="2" t="s">
        <v>47</v>
      </c>
      <c r="T14" s="2" t="s">
        <v>116</v>
      </c>
      <c r="U14" s="2" t="s">
        <v>117</v>
      </c>
      <c r="V14" s="2" t="s">
        <v>228</v>
      </c>
      <c r="W14" s="2" t="s">
        <v>79</v>
      </c>
      <c r="X14" s="50" t="s">
        <v>147</v>
      </c>
      <c r="Y14" s="2" t="s">
        <v>148</v>
      </c>
      <c r="Z14" s="2" t="s">
        <v>144</v>
      </c>
      <c r="AA14" s="2" t="s">
        <v>118</v>
      </c>
      <c r="AB14" s="2" t="s">
        <v>145</v>
      </c>
      <c r="AC14" s="2" t="s">
        <v>146</v>
      </c>
      <c r="AD14" s="2" t="s">
        <v>42</v>
      </c>
      <c r="AE14" s="2" t="s">
        <v>43</v>
      </c>
      <c r="AF14" s="1"/>
      <c r="AG14" s="2" t="s">
        <v>160</v>
      </c>
      <c r="AH14" s="2" t="s">
        <v>161</v>
      </c>
      <c r="AI14" s="1"/>
      <c r="AJ14" s="2" t="s">
        <v>152</v>
      </c>
      <c r="AK14" s="2" t="s">
        <v>153</v>
      </c>
      <c r="AL14" s="1"/>
      <c r="AM14" s="2" t="s">
        <v>155</v>
      </c>
      <c r="AN14" s="2" t="s">
        <v>156</v>
      </c>
      <c r="AO14" s="1"/>
      <c r="AP14" s="2" t="s">
        <v>173</v>
      </c>
      <c r="AQ14" s="2" t="s">
        <v>173</v>
      </c>
      <c r="AR14" s="1"/>
      <c r="AS14" s="1"/>
      <c r="AW14" s="1"/>
      <c r="AX14" s="1"/>
      <c r="AY14" s="1"/>
      <c r="AZ14" s="1"/>
      <c r="BA14" s="1"/>
      <c r="BB14" s="1"/>
      <c r="BC14" s="1"/>
      <c r="BD14" s="1"/>
      <c r="BE14" s="1"/>
      <c r="BF14" s="1"/>
      <c r="BG14" s="1"/>
      <c r="BH14" s="1"/>
      <c r="BI14" s="1"/>
      <c r="BJ14" s="1"/>
      <c r="BK14" s="1"/>
      <c r="BL14" s="1"/>
      <c r="BM14" s="1"/>
      <c r="BN14" s="1"/>
      <c r="BO14" s="1"/>
      <c r="CP14"/>
      <c r="CQ14"/>
      <c r="CR14"/>
      <c r="CS14"/>
      <c r="CT14"/>
      <c r="CU14"/>
      <c r="DL14" s="279"/>
      <c r="DM14" s="279"/>
      <c r="DN14" s="382"/>
      <c r="DO14" s="382"/>
      <c r="DP14" s="382"/>
      <c r="DQ14" s="382"/>
      <c r="DR14" s="382"/>
      <c r="DS14" s="382"/>
      <c r="DT14" s="382"/>
      <c r="DU14" s="382"/>
      <c r="DV14" s="382"/>
      <c r="DW14" s="382"/>
      <c r="DX14" s="382"/>
      <c r="DY14" s="382"/>
      <c r="DZ14" s="382"/>
      <c r="EA14" s="382"/>
      <c r="EB14" s="382"/>
      <c r="EC14" s="382"/>
      <c r="ED14" s="382"/>
      <c r="EE14" s="382"/>
      <c r="EF14" s="382"/>
      <c r="EG14" s="382"/>
      <c r="EH14" s="279"/>
      <c r="EI14" s="279"/>
      <c r="EM14" s="1"/>
      <c r="EN14" s="1"/>
      <c r="EO14" s="1"/>
      <c r="EP14" s="1"/>
      <c r="EQ14" s="1"/>
      <c r="ER14" s="1"/>
      <c r="ES14" s="1"/>
      <c r="ET14" s="1"/>
      <c r="EU14" s="1"/>
      <c r="EV14" s="1"/>
      <c r="EW14" s="1"/>
      <c r="EX14" s="1"/>
      <c r="EY14" s="1"/>
      <c r="FC14" s="218" t="str">
        <f>FC7</f>
        <v>Catering waste 1</v>
      </c>
      <c r="FD14" s="221"/>
      <c r="FE14" s="221"/>
      <c r="FF14" s="239">
        <v>0.9</v>
      </c>
      <c r="FG14" s="240"/>
      <c r="FH14" s="241">
        <v>0.05</v>
      </c>
      <c r="FI14" s="197">
        <f>1-(FH14/FF14)</f>
        <v>0.94444444444444442</v>
      </c>
      <c r="FJ14"/>
      <c r="FK14" s="297">
        <f>1-FH14</f>
        <v>0.95</v>
      </c>
      <c r="FL14" s="293"/>
      <c r="FM14" s="293"/>
      <c r="FN14" s="293"/>
      <c r="FO14" s="293"/>
      <c r="FP14" s="293"/>
      <c r="FQ14" s="293"/>
      <c r="FR14" s="293"/>
      <c r="FS14" s="293"/>
      <c r="FW14"/>
      <c r="FX14"/>
      <c r="FY14"/>
      <c r="FZ14" s="186" t="s">
        <v>131</v>
      </c>
      <c r="GA14" s="339" t="s">
        <v>204</v>
      </c>
      <c r="GB14" s="360" t="s">
        <v>212</v>
      </c>
      <c r="GC14" s="344" t="s">
        <v>131</v>
      </c>
      <c r="GD14" s="345" t="s">
        <v>204</v>
      </c>
      <c r="GE14" s="361" t="s">
        <v>212</v>
      </c>
      <c r="GF14" s="344" t="s">
        <v>131</v>
      </c>
      <c r="GG14" s="345" t="s">
        <v>204</v>
      </c>
      <c r="GH14" s="361" t="s">
        <v>212</v>
      </c>
      <c r="GI14" s="352" t="s">
        <v>172</v>
      </c>
      <c r="GJ14" s="337" t="s">
        <v>117</v>
      </c>
      <c r="GK14" s="353" t="s">
        <v>208</v>
      </c>
      <c r="GL14" s="355" t="s">
        <v>210</v>
      </c>
    </row>
    <row r="15" spans="2:199" ht="49.5" thickTop="1" thickBot="1">
      <c r="B15" s="178" t="s">
        <v>123</v>
      </c>
      <c r="E15" s="427"/>
      <c r="F15" s="427"/>
      <c r="G15" s="427"/>
      <c r="H15" s="427"/>
      <c r="I15" s="427"/>
      <c r="J15"/>
      <c r="K15"/>
      <c r="L15"/>
      <c r="M15"/>
      <c r="N15"/>
      <c r="R15" s="3" t="s">
        <v>12</v>
      </c>
      <c r="S15" s="29">
        <v>0.8491074099930187</v>
      </c>
      <c r="T15" s="6">
        <f>(160/(5/(1-S15)))*S21</f>
        <v>3.1255287523686079</v>
      </c>
      <c r="U15" s="5">
        <f>T15*WEO!$BT$11</f>
        <v>3.1830471634365053E-2</v>
      </c>
      <c r="V15" s="5">
        <f>W21/X21</f>
        <v>7.335739173718268E-3</v>
      </c>
      <c r="W15" s="5">
        <f>W21/Y21</f>
        <v>4.2167381974248928E-2</v>
      </c>
      <c r="X15" s="298">
        <f>W15*T6</f>
        <v>6.7889484978540778E-3</v>
      </c>
      <c r="Y15" s="6">
        <f>X15/V6</f>
        <v>2.1307503080553396E-2</v>
      </c>
      <c r="Z15" s="88">
        <v>3.863</v>
      </c>
      <c r="AA15" s="89">
        <f>Z21/Y21</f>
        <v>1.5916223175965667E-3</v>
      </c>
      <c r="AB15" s="90">
        <f>AA15*T6</f>
        <v>2.5625119313304724E-4</v>
      </c>
      <c r="AC15" s="90">
        <f>AB15/V6</f>
        <v>8.0425902314677528E-4</v>
      </c>
      <c r="AD15" s="28">
        <f>AC15+Y15+U15</f>
        <v>5.3942233738065226E-2</v>
      </c>
      <c r="AE15" s="21">
        <f>Y6/AD15</f>
        <v>0.35207020452589871</v>
      </c>
      <c r="AF15" s="1"/>
      <c r="AG15" s="34">
        <f>X15</f>
        <v>6.7889484978540778E-3</v>
      </c>
      <c r="AH15" s="86">
        <f>AB15</f>
        <v>2.5625119313304724E-4</v>
      </c>
      <c r="AI15" s="1"/>
      <c r="AJ15" s="34">
        <f>X15*(WEO!L5/WEO!K5)</f>
        <v>3.8094786900700821E-3</v>
      </c>
      <c r="AK15" s="86">
        <f>AB15*(WEO!L5/WEO!K5)</f>
        <v>1.4379008175624528E-4</v>
      </c>
      <c r="AL15" s="1"/>
      <c r="AM15" s="34">
        <f>Y15*WEO!M5</f>
        <v>1.0709075892629236E-2</v>
      </c>
      <c r="AN15" s="34">
        <f>AC15*WEO!M5</f>
        <v>4.0421774825748268E-4</v>
      </c>
      <c r="AO15" s="1"/>
      <c r="AP15" s="13">
        <f t="shared" ref="AP15:AQ17" si="0">AG15+AJ15+AM15</f>
        <v>2.1307503080553396E-2</v>
      </c>
      <c r="AQ15" s="86">
        <f t="shared" si="0"/>
        <v>8.0425902314677517E-4</v>
      </c>
      <c r="AR15" s="1" t="b">
        <f>AP15=Y15</f>
        <v>1</v>
      </c>
      <c r="AS15" s="1" t="b">
        <f>AQ15=AC15</f>
        <v>1</v>
      </c>
      <c r="AW15" s="17" t="s">
        <v>0</v>
      </c>
      <c r="AX15" s="44" t="s">
        <v>20</v>
      </c>
      <c r="AY15" s="163" t="s">
        <v>227</v>
      </c>
      <c r="AZ15" s="27" t="s">
        <v>23</v>
      </c>
      <c r="BA15" s="163" t="s">
        <v>229</v>
      </c>
      <c r="BB15" s="27" t="s">
        <v>25</v>
      </c>
      <c r="BC15" s="162" t="s">
        <v>215</v>
      </c>
      <c r="BD15" s="27" t="s">
        <v>37</v>
      </c>
      <c r="BE15" s="162" t="s">
        <v>230</v>
      </c>
      <c r="BF15" s="17" t="s">
        <v>41</v>
      </c>
      <c r="BG15" s="124" t="s">
        <v>96</v>
      </c>
      <c r="BH15" s="118" t="s">
        <v>130</v>
      </c>
      <c r="BI15" s="105" t="s">
        <v>92</v>
      </c>
      <c r="BJ15" s="1"/>
      <c r="BK15" s="247" t="s">
        <v>177</v>
      </c>
      <c r="BL15" s="245"/>
      <c r="BM15" s="245"/>
      <c r="BN15" s="245"/>
      <c r="BO15" s="246"/>
      <c r="CP15"/>
      <c r="CQ15"/>
      <c r="CR15"/>
      <c r="CS15"/>
      <c r="CT15"/>
      <c r="CU15"/>
      <c r="DL15" s="279"/>
      <c r="DM15" s="279"/>
      <c r="DN15" s="382"/>
      <c r="DO15" s="382"/>
      <c r="DP15" s="382"/>
      <c r="DQ15" s="382"/>
      <c r="DR15" s="382"/>
      <c r="DS15" s="382"/>
      <c r="DT15" s="382"/>
      <c r="DU15" s="382"/>
      <c r="DV15" s="382"/>
      <c r="DW15" s="382"/>
      <c r="DX15" s="382"/>
      <c r="DY15" s="382"/>
      <c r="DZ15" s="382"/>
      <c r="EA15" s="382"/>
      <c r="EB15" s="382"/>
      <c r="EC15" s="382"/>
      <c r="ED15" s="382"/>
      <c r="EE15" s="382"/>
      <c r="EF15" s="382"/>
      <c r="EG15" s="382"/>
      <c r="EH15" s="279"/>
      <c r="EI15" s="279"/>
      <c r="EM15" s="162" t="s">
        <v>0</v>
      </c>
      <c r="EN15" s="163" t="s">
        <v>20</v>
      </c>
      <c r="EO15" s="163" t="s">
        <v>115</v>
      </c>
      <c r="EP15" s="162" t="s">
        <v>23</v>
      </c>
      <c r="EQ15" s="163"/>
      <c r="ER15" s="162" t="s">
        <v>158</v>
      </c>
      <c r="ES15" s="162" t="s">
        <v>35</v>
      </c>
      <c r="ET15" s="162" t="s">
        <v>37</v>
      </c>
      <c r="EU15" s="162" t="s">
        <v>114</v>
      </c>
      <c r="EV15" s="204" t="s">
        <v>41</v>
      </c>
      <c r="EW15" s="124" t="s">
        <v>96</v>
      </c>
      <c r="EX15" s="118" t="s">
        <v>130</v>
      </c>
      <c r="EY15" s="105" t="s">
        <v>92</v>
      </c>
      <c r="FC15" s="222" t="s">
        <v>82</v>
      </c>
      <c r="FD15" s="223"/>
      <c r="FE15" s="223"/>
      <c r="FF15" s="223">
        <f>AVERAGE(FF12:FF14)</f>
        <v>0.7400000000000001</v>
      </c>
      <c r="FG15" s="223"/>
      <c r="FH15" s="223">
        <f>AVERAGE(FH12:FH14)</f>
        <v>7.6666666666666661E-2</v>
      </c>
      <c r="FI15" s="242">
        <f>AVERAGE(FI12:FI14)</f>
        <v>0.90423789173789171</v>
      </c>
      <c r="FJ15"/>
      <c r="FK15" s="242">
        <f>AVERAGE(FK12:FK14)</f>
        <v>0.92333333333333334</v>
      </c>
      <c r="FL15" s="293"/>
      <c r="FM15" s="293"/>
      <c r="FN15" s="293"/>
      <c r="FO15" s="293"/>
      <c r="FP15" s="293"/>
      <c r="FQ15" s="293"/>
      <c r="FR15" s="293"/>
      <c r="FS15" s="293"/>
      <c r="FW15" s="448" t="s">
        <v>12</v>
      </c>
      <c r="FX15" s="449"/>
      <c r="FY15" s="449"/>
      <c r="FZ15" s="340">
        <v>0.16144349477682812</v>
      </c>
      <c r="GA15" s="341">
        <v>0.72703589743589747</v>
      </c>
      <c r="GB15" s="311">
        <v>3.5564195756909807</v>
      </c>
      <c r="GC15" s="346">
        <v>408.85990779999997</v>
      </c>
      <c r="GD15" s="347">
        <v>57.363636999999997</v>
      </c>
      <c r="GE15" s="347">
        <v>16.835692829999999</v>
      </c>
      <c r="GF15" s="346">
        <f t="shared" ref="GF15:GH17" si="1">FZ15*GC15</f>
        <v>66.007772389363723</v>
      </c>
      <c r="GG15" s="347">
        <f t="shared" si="1"/>
        <v>41.705423306482054</v>
      </c>
      <c r="GH15" s="347">
        <f t="shared" si="1"/>
        <v>59.874787550932282</v>
      </c>
      <c r="GI15" s="348">
        <f>SUM(GF15:GH15)</f>
        <v>167.58798324677804</v>
      </c>
      <c r="GJ15" s="354">
        <f>WEO!U15</f>
        <v>3.1830471634365053E-2</v>
      </c>
      <c r="GK15" s="341">
        <f>GJ15/(GI15/1000)</f>
        <v>0.18993289982787001</v>
      </c>
      <c r="GL15" s="358">
        <f>GK15*3600</f>
        <v>683.75843938033199</v>
      </c>
    </row>
    <row r="16" spans="2:199" ht="33">
      <c r="B16" s="396"/>
      <c r="E16" s="427"/>
      <c r="F16" s="427"/>
      <c r="G16" s="427"/>
      <c r="H16" s="427"/>
      <c r="I16" s="427"/>
      <c r="J16"/>
      <c r="K16"/>
      <c r="L16"/>
      <c r="M16"/>
      <c r="N16"/>
      <c r="R16" s="3" t="s">
        <v>13</v>
      </c>
      <c r="S16" s="29">
        <v>0.87222388208345802</v>
      </c>
      <c r="T16" s="6">
        <f>(160/(5/(1-S16)))*S22</f>
        <v>2.1163813962752678</v>
      </c>
      <c r="U16" s="5">
        <f>T16*WEO!$BT$11</f>
        <v>2.1553286928039466E-2</v>
      </c>
      <c r="V16" s="5">
        <f>W22/X22</f>
        <v>1.9228990551964198E-2</v>
      </c>
      <c r="W16" s="5">
        <f>W22/Y22</f>
        <v>0.10109673202614379</v>
      </c>
      <c r="X16" s="298">
        <f>W16*T7</f>
        <v>2.9722439215686274E-2</v>
      </c>
      <c r="Y16" s="335">
        <f>X16/V7</f>
        <v>9.1254399547164425E-2</v>
      </c>
      <c r="Z16" s="88">
        <v>4.0419999999999998</v>
      </c>
      <c r="AA16" s="89">
        <f>Z22/Y22</f>
        <v>1.5216941176470586E-3</v>
      </c>
      <c r="AB16" s="90">
        <f>AA16*T7</f>
        <v>4.4737807058823519E-4</v>
      </c>
      <c r="AC16" s="90">
        <f>AB16/V7</f>
        <v>1.3735486817162868E-3</v>
      </c>
      <c r="AD16" s="28">
        <f>AC16+Y16+U16</f>
        <v>0.11418123515692018</v>
      </c>
      <c r="AE16" s="21">
        <f>Y7/AD16</f>
        <v>0.20397799749664544</v>
      </c>
      <c r="AF16" s="1"/>
      <c r="AG16" s="34">
        <f>X16</f>
        <v>2.9722439215686274E-2</v>
      </c>
      <c r="AH16" s="86">
        <f>AB16</f>
        <v>4.4737807058823519E-4</v>
      </c>
      <c r="AI16" s="1"/>
      <c r="AJ16" s="34">
        <f>X16*(WEO!L6/WEO!K6)</f>
        <v>4.4050609434875938E-2</v>
      </c>
      <c r="AK16" s="86">
        <f>AB16*(WEO!L6/WEO!K6)</f>
        <v>6.6304371973650205E-4</v>
      </c>
      <c r="AL16" s="1"/>
      <c r="AM16" s="34">
        <f>Y16*WEO!M6</f>
        <v>1.748135089660223E-2</v>
      </c>
      <c r="AN16" s="34">
        <f>AC16*WEO!M6</f>
        <v>2.6312689139154974E-4</v>
      </c>
      <c r="AO16" s="1"/>
      <c r="AP16" s="13">
        <f t="shared" si="0"/>
        <v>9.1254399547164439E-2</v>
      </c>
      <c r="AQ16" s="86">
        <f t="shared" si="0"/>
        <v>1.373548681716287E-3</v>
      </c>
      <c r="AR16" s="1" t="b">
        <f>AP16=Y16</f>
        <v>1</v>
      </c>
      <c r="AS16" s="1" t="b">
        <f>AQ16=AC16</f>
        <v>1</v>
      </c>
      <c r="AW16" s="18" t="s">
        <v>5</v>
      </c>
      <c r="AX16" s="45" t="s">
        <v>21</v>
      </c>
      <c r="AY16" s="45" t="s">
        <v>7</v>
      </c>
      <c r="AZ16" s="26" t="s">
        <v>22</v>
      </c>
      <c r="BA16" s="45" t="s">
        <v>9</v>
      </c>
      <c r="BB16" s="26" t="s">
        <v>26</v>
      </c>
      <c r="BC16" s="26" t="s">
        <v>36</v>
      </c>
      <c r="BD16" s="26" t="s">
        <v>11</v>
      </c>
      <c r="BE16" s="18" t="s">
        <v>42</v>
      </c>
      <c r="BF16" s="18" t="s">
        <v>43</v>
      </c>
      <c r="BG16" s="125" t="s">
        <v>42</v>
      </c>
      <c r="BH16" s="80"/>
      <c r="BI16" s="81"/>
      <c r="BJ16" s="1"/>
      <c r="BK16" s="255">
        <v>0.95</v>
      </c>
      <c r="BL16" s="123">
        <v>0.83</v>
      </c>
      <c r="BM16" s="123">
        <v>0.79</v>
      </c>
      <c r="BN16" s="123">
        <v>0.64100000000000001</v>
      </c>
      <c r="BO16" s="243">
        <v>0.5</v>
      </c>
      <c r="CP16"/>
      <c r="CQ16"/>
      <c r="CR16"/>
      <c r="CS16"/>
      <c r="CT16"/>
      <c r="CU16"/>
      <c r="DL16" s="279"/>
      <c r="DM16" s="279"/>
      <c r="DN16" s="382"/>
      <c r="DO16" s="382"/>
      <c r="DP16" s="382"/>
      <c r="DQ16" s="382"/>
      <c r="DR16" s="382"/>
      <c r="DS16" s="382"/>
      <c r="DT16" s="382"/>
      <c r="DU16" s="382"/>
      <c r="DV16" s="382"/>
      <c r="DW16" s="382"/>
      <c r="DX16" s="382"/>
      <c r="DY16" s="382"/>
      <c r="DZ16" s="382"/>
      <c r="EA16" s="382"/>
      <c r="EB16" s="382"/>
      <c r="EC16" s="382"/>
      <c r="ED16" s="382"/>
      <c r="EE16" s="382"/>
      <c r="EF16" s="382"/>
      <c r="EG16" s="382"/>
      <c r="EH16" s="279"/>
      <c r="EI16" s="279"/>
      <c r="EM16" s="26" t="s">
        <v>5</v>
      </c>
      <c r="EN16" s="45" t="s">
        <v>21</v>
      </c>
      <c r="EO16" s="45" t="s">
        <v>7</v>
      </c>
      <c r="EP16" s="26" t="s">
        <v>22</v>
      </c>
      <c r="EQ16" s="45"/>
      <c r="ER16" s="26" t="s">
        <v>26</v>
      </c>
      <c r="ES16" s="26" t="s">
        <v>36</v>
      </c>
      <c r="ET16" s="26" t="s">
        <v>11</v>
      </c>
      <c r="EU16" s="26" t="s">
        <v>42</v>
      </c>
      <c r="EV16" s="205" t="s">
        <v>43</v>
      </c>
      <c r="EW16" s="125" t="s">
        <v>42</v>
      </c>
      <c r="EX16" s="80"/>
      <c r="EY16" s="81"/>
      <c r="FW16" s="448" t="s">
        <v>13</v>
      </c>
      <c r="FX16" s="449"/>
      <c r="FY16" s="449"/>
      <c r="FZ16" s="340">
        <v>0.29411764705882354</v>
      </c>
      <c r="GA16" s="341">
        <v>1.1294117647058823</v>
      </c>
      <c r="GB16" s="311">
        <v>2.89654140587986</v>
      </c>
      <c r="GC16" s="346">
        <v>337.6442394</v>
      </c>
      <c r="GD16" s="347">
        <v>82.028916199999998</v>
      </c>
      <c r="GE16" s="347">
        <v>13.101419920000001</v>
      </c>
      <c r="GF16" s="346">
        <f t="shared" si="1"/>
        <v>99.307129235294127</v>
      </c>
      <c r="GG16" s="347">
        <f t="shared" si="1"/>
        <v>92.644423002352937</v>
      </c>
      <c r="GH16" s="347">
        <f t="shared" si="1"/>
        <v>37.948805274099207</v>
      </c>
      <c r="GI16" s="348">
        <f>SUM(GF16:GH16)</f>
        <v>229.90035751174628</v>
      </c>
      <c r="GJ16" s="354">
        <f>WEO!U16</f>
        <v>2.1553286928039466E-2</v>
      </c>
      <c r="GK16" s="341">
        <f>GJ16/(GI16/1000)</f>
        <v>9.3750558552038121E-2</v>
      </c>
      <c r="GL16" s="358">
        <f>GK16*3600</f>
        <v>337.50201078733721</v>
      </c>
    </row>
    <row r="17" spans="18:194" ht="21" thickBot="1">
      <c r="R17" s="4" t="s">
        <v>14</v>
      </c>
      <c r="S17" s="9">
        <v>0.84749801429706118</v>
      </c>
      <c r="T17" s="8">
        <f>(160/(5/(1-S17)))*S23</f>
        <v>2.3492625893566319</v>
      </c>
      <c r="U17" s="30">
        <f>T17*WEO!$BT$11</f>
        <v>2.3924955467302108E-2</v>
      </c>
      <c r="V17" s="30">
        <f>W23/X23</f>
        <v>1.2849502487562189E-2</v>
      </c>
      <c r="W17" s="30">
        <f>W23/Y23</f>
        <v>1.2284185493460166E-2</v>
      </c>
      <c r="X17" s="299">
        <f>W17*T8</f>
        <v>7.0511224732461349E-3</v>
      </c>
      <c r="Y17" s="8">
        <f>X17/V8</f>
        <v>1.7147654979490928E-2</v>
      </c>
      <c r="Z17" s="91">
        <v>5.617</v>
      </c>
      <c r="AA17" s="92">
        <f>Z23/Y23</f>
        <v>1.9235386444708682E-3</v>
      </c>
      <c r="AB17" s="93">
        <f>AA17*T8</f>
        <v>1.1041111819262784E-3</v>
      </c>
      <c r="AC17" s="93">
        <f>AB17/V8</f>
        <v>2.6850927180043132E-3</v>
      </c>
      <c r="AD17" s="244">
        <f>AC17+Y17+U17</f>
        <v>4.3757703164797351E-2</v>
      </c>
      <c r="AE17" s="107">
        <f>Y8/AD17</f>
        <v>0.86796630571811073</v>
      </c>
      <c r="AF17" s="1"/>
      <c r="AG17" s="34">
        <f>X17</f>
        <v>7.0511224732461349E-3</v>
      </c>
      <c r="AH17" s="86">
        <f>AB17</f>
        <v>1.1041111819262784E-3</v>
      </c>
      <c r="AI17" s="1"/>
      <c r="AJ17" s="34">
        <f>X17*(WEO!L8/WEO!K8)</f>
        <v>4.0363644113606883E-3</v>
      </c>
      <c r="AK17" s="86">
        <f>AB17*(WEO!L8/WEO!K8)</f>
        <v>6.3204051522607117E-4</v>
      </c>
      <c r="AL17" s="1"/>
      <c r="AM17" s="34">
        <f>Y17*WEO!M8</f>
        <v>6.0601680948841026E-3</v>
      </c>
      <c r="AN17" s="34">
        <f>AC17*WEO!M8</f>
        <v>9.4894102085196351E-4</v>
      </c>
      <c r="AO17" s="1"/>
      <c r="AP17" s="13">
        <f t="shared" si="0"/>
        <v>1.7147654979490924E-2</v>
      </c>
      <c r="AQ17" s="86">
        <f t="shared" si="0"/>
        <v>2.6850927180043132E-3</v>
      </c>
      <c r="AR17" s="1" t="b">
        <f>AP17=Y17</f>
        <v>1</v>
      </c>
      <c r="AS17" s="1" t="b">
        <f>AQ17=AC17</f>
        <v>1</v>
      </c>
      <c r="AW17" s="3" t="s">
        <v>12</v>
      </c>
      <c r="AX17" s="46">
        <f>4018/699</f>
        <v>5.748211731044349</v>
      </c>
      <c r="AY17" s="47">
        <v>0.161</v>
      </c>
      <c r="AZ17" s="12">
        <f>AX17*AY17</f>
        <v>0.92546208869814017</v>
      </c>
      <c r="BA17" s="54">
        <f>BC8</f>
        <v>0.31861774099894935</v>
      </c>
      <c r="BB17" s="12">
        <f>AZ17/BA17</f>
        <v>2.9046156871132669</v>
      </c>
      <c r="BC17" s="23">
        <f>BB17/WEO!$CJ$9</f>
        <v>1.742253611248964E-3</v>
      </c>
      <c r="BD17" s="39">
        <f>BC17*$AW$24</f>
        <v>1.742253611248964E-3</v>
      </c>
      <c r="BE17" s="11">
        <f>BD17+WEO!AD15</f>
        <v>5.5684487349314193E-2</v>
      </c>
      <c r="BF17" s="21">
        <f>BF8/BE17</f>
        <v>2.8262674444827898</v>
      </c>
      <c r="BG17" s="126">
        <f>BF8-BE17</f>
        <v>0.10169476640876626</v>
      </c>
      <c r="BH17" s="119">
        <f>BD17/BE17</f>
        <v>3.128795278871184E-2</v>
      </c>
      <c r="BI17" s="120">
        <f>AY8/AZ8</f>
        <v>0.87932683113405996</v>
      </c>
      <c r="BJ17" s="1"/>
      <c r="BK17" s="248">
        <v>2.8262674444827898</v>
      </c>
      <c r="BL17" s="249">
        <v>1.1915664033451749</v>
      </c>
      <c r="BM17" s="250">
        <v>0.99896698769385051</v>
      </c>
      <c r="BN17" s="250">
        <v>0.62353901665955658</v>
      </c>
      <c r="BO17" s="251">
        <v>0.4599597760115825</v>
      </c>
      <c r="CP17"/>
      <c r="CQ17"/>
      <c r="CR17"/>
      <c r="CS17"/>
      <c r="CT17"/>
      <c r="CU17"/>
      <c r="DL17" s="279"/>
      <c r="DM17" s="279"/>
      <c r="DN17" s="382"/>
      <c r="DO17" s="382"/>
      <c r="DP17" s="382"/>
      <c r="DQ17" s="382"/>
      <c r="DR17" s="382"/>
      <c r="DS17" s="382"/>
      <c r="DT17" s="382"/>
      <c r="DU17" s="382"/>
      <c r="DV17" s="382"/>
      <c r="DW17" s="382"/>
      <c r="DX17" s="382"/>
      <c r="DY17" s="382"/>
      <c r="DZ17" s="382"/>
      <c r="EA17" s="382"/>
      <c r="EB17" s="382"/>
      <c r="EC17" s="382"/>
      <c r="ED17" s="382"/>
      <c r="EE17" s="382"/>
      <c r="EF17" s="382"/>
      <c r="EG17" s="382"/>
      <c r="EH17" s="279"/>
      <c r="EI17" s="279"/>
      <c r="EM17" s="3" t="s">
        <v>12</v>
      </c>
      <c r="EN17" s="46">
        <f>4018/699</f>
        <v>5.748211731044349</v>
      </c>
      <c r="EO17" s="47">
        <v>0.161</v>
      </c>
      <c r="EP17" s="12">
        <f>EN17*EO17</f>
        <v>0.92546208869814017</v>
      </c>
      <c r="EQ17" s="54"/>
      <c r="ER17" s="12">
        <f>EP17*((ES8+ET8)/ES8)</f>
        <v>1.4447660879076936</v>
      </c>
      <c r="ES17" s="23">
        <f>ER17/WEO!$CJ$9</f>
        <v>8.6660309149843814E-4</v>
      </c>
      <c r="ET17" s="39">
        <f>ES17*WEO!$AW$24</f>
        <v>8.6660309149843814E-4</v>
      </c>
      <c r="EU17" s="11">
        <f>ET17+SUM(WEO!AG15:AK15)</f>
        <v>1.1865071554311891E-2</v>
      </c>
      <c r="EV17" s="206">
        <f>EX8/EU17</f>
        <v>6.5975999864648385</v>
      </c>
      <c r="EW17" s="126">
        <f>EX8-EU17</f>
        <v>6.6415924371820576E-2</v>
      </c>
      <c r="EX17" s="119">
        <f>ET17/EU17</f>
        <v>7.3038168167094242E-2</v>
      </c>
      <c r="EY17" s="120">
        <f>EO8/EP8</f>
        <v>0.87932683113405996</v>
      </c>
      <c r="FW17" s="448" t="s">
        <v>14</v>
      </c>
      <c r="FX17" s="449"/>
      <c r="FY17" s="449"/>
      <c r="FZ17" s="342">
        <v>0.57418496340652025</v>
      </c>
      <c r="GA17" s="343">
        <v>0.90442839495458882</v>
      </c>
      <c r="GB17" s="314">
        <v>1.7736436170903431</v>
      </c>
      <c r="GC17" s="349">
        <v>408.29645728399993</v>
      </c>
      <c r="GD17" s="350">
        <v>39.033233697599997</v>
      </c>
      <c r="GE17" s="350">
        <v>10.217594550899999</v>
      </c>
      <c r="GF17" s="349">
        <f t="shared" si="1"/>
        <v>234.43768638462535</v>
      </c>
      <c r="GG17" s="350">
        <f t="shared" si="1"/>
        <v>35.302764903007734</v>
      </c>
      <c r="GH17" s="350">
        <f t="shared" si="1"/>
        <v>18.122371357220857</v>
      </c>
      <c r="GI17" s="351">
        <f>SUM(GF17:GH17)</f>
        <v>287.86282264485396</v>
      </c>
      <c r="GJ17" s="362">
        <f>WEO!U17</f>
        <v>2.3924955467302108E-2</v>
      </c>
      <c r="GK17" s="343">
        <f>GJ17/(GI17/1000)</f>
        <v>8.3112349304026417E-2</v>
      </c>
      <c r="GL17" s="359">
        <f>GK17*3600</f>
        <v>299.2044574944951</v>
      </c>
    </row>
    <row r="18" spans="18:194" ht="21.75" thickTop="1" thickBot="1">
      <c r="R18" s="31"/>
      <c r="S18" s="1"/>
      <c r="T18" s="1"/>
      <c r="U18" s="1"/>
      <c r="V18" s="1"/>
      <c r="W18" s="1"/>
      <c r="X18" s="75" t="s">
        <v>244</v>
      </c>
      <c r="Y18" s="1"/>
      <c r="Z18" s="1"/>
      <c r="AA18" s="1"/>
      <c r="AB18" s="1"/>
      <c r="AC18" s="1"/>
      <c r="AD18" s="1"/>
      <c r="AE18" s="1"/>
      <c r="AF18" s="1"/>
      <c r="AG18" s="1"/>
      <c r="AH18" s="1"/>
      <c r="AI18" s="1"/>
      <c r="AJ18" s="34"/>
      <c r="AK18" s="1"/>
      <c r="AL18" s="1"/>
      <c r="AM18" s="1"/>
      <c r="AN18" s="1"/>
      <c r="AO18" s="1"/>
      <c r="AP18" s="1"/>
      <c r="AQ18" s="1"/>
      <c r="AR18" s="1"/>
      <c r="AS18" s="1"/>
      <c r="AW18" s="3" t="s">
        <v>13</v>
      </c>
      <c r="AX18" s="48">
        <f>4022/765</f>
        <v>5.257516339869281</v>
      </c>
      <c r="AY18" s="41">
        <v>0.29399999999999998</v>
      </c>
      <c r="AZ18" s="12">
        <f>AX18*AY18</f>
        <v>1.5457098039215684</v>
      </c>
      <c r="BA18" s="54">
        <f>BC9</f>
        <v>0.32570965743218072</v>
      </c>
      <c r="BB18" s="12">
        <f>AZ18/BA18</f>
        <v>4.7456677094182149</v>
      </c>
      <c r="BC18" s="23">
        <f>BB18/WEO!$CJ$9</f>
        <v>2.8465578910161216E-3</v>
      </c>
      <c r="BD18" s="39">
        <f>BC18*$AW$24</f>
        <v>2.8465578910161216E-3</v>
      </c>
      <c r="BE18" s="11">
        <f>BD18+WEO!AD16</f>
        <v>0.1170277930479363</v>
      </c>
      <c r="BF18" s="21">
        <f>BF9/BE18</f>
        <v>2.131111860354868</v>
      </c>
      <c r="BG18" s="126">
        <f>BF9-BE18</f>
        <v>0.13237152470767571</v>
      </c>
      <c r="BH18" s="119">
        <f>BD18/BE18</f>
        <v>2.4323776573742014E-2</v>
      </c>
      <c r="BI18" s="120">
        <f>AY9/AZ9</f>
        <v>0.90661377942571353</v>
      </c>
      <c r="BJ18" s="1"/>
      <c r="BK18" s="248">
        <v>2.131111860354868</v>
      </c>
      <c r="BL18" s="249">
        <v>1.4778721242439652</v>
      </c>
      <c r="BM18" s="249">
        <v>1.3408687214571275</v>
      </c>
      <c r="BN18" s="250">
        <v>0.99669185117483949</v>
      </c>
      <c r="BO18" s="251">
        <v>0.80190804939791283</v>
      </c>
      <c r="CP18"/>
      <c r="CQ18"/>
      <c r="CR18"/>
      <c r="CS18"/>
      <c r="CT18"/>
      <c r="CU18"/>
      <c r="DL18" s="279"/>
      <c r="DM18" s="279"/>
      <c r="DN18" s="382"/>
      <c r="DO18" s="382"/>
      <c r="DP18" s="382"/>
      <c r="DQ18" s="382"/>
      <c r="DR18" s="382"/>
      <c r="DS18" s="382"/>
      <c r="DT18" s="382"/>
      <c r="DU18" s="382"/>
      <c r="DV18" s="382"/>
      <c r="DW18" s="382"/>
      <c r="DX18" s="382"/>
      <c r="DY18" s="382"/>
      <c r="DZ18" s="382"/>
      <c r="EA18" s="382"/>
      <c r="EB18" s="382"/>
      <c r="EC18" s="382"/>
      <c r="ED18" s="382"/>
      <c r="EE18" s="382"/>
      <c r="EF18" s="382"/>
      <c r="EG18" s="382"/>
      <c r="EH18" s="279"/>
      <c r="EI18" s="279"/>
      <c r="EM18" s="3" t="s">
        <v>13</v>
      </c>
      <c r="EN18" s="48">
        <f>4022/765</f>
        <v>5.257516339869281</v>
      </c>
      <c r="EO18" s="202">
        <v>0.29399999999999998</v>
      </c>
      <c r="EP18" s="12">
        <f>EN18*EO18</f>
        <v>1.5457098039215684</v>
      </c>
      <c r="EQ18" s="54"/>
      <c r="ER18" s="12">
        <f>EP18*((ES9+ET9)/ES9)</f>
        <v>3.8365533776304477</v>
      </c>
      <c r="ES18" s="23">
        <f>ER18/WEO!$CJ$9</f>
        <v>2.3012507322678387E-3</v>
      </c>
      <c r="ET18" s="39">
        <f>ES18*WEO!$AW$24</f>
        <v>2.3012507322678387E-3</v>
      </c>
      <c r="EU18" s="11">
        <f>ET18+SUM(WEO!AG16:AK16)</f>
        <v>7.7184721173154794E-2</v>
      </c>
      <c r="EV18" s="206">
        <f>EX9/EU18</f>
        <v>2.6122085139923792</v>
      </c>
      <c r="EW18" s="126">
        <f>EX9-EU18</f>
        <v>0.12443786462548802</v>
      </c>
      <c r="EX18" s="119">
        <f>ET18/EU18</f>
        <v>2.9814848033268851E-2</v>
      </c>
      <c r="EY18" s="120">
        <f>EO9/EP9</f>
        <v>0.90661377942571353</v>
      </c>
      <c r="FW18" s="440" t="s">
        <v>122</v>
      </c>
      <c r="FX18" s="440"/>
      <c r="FY18" s="440"/>
      <c r="FZ18"/>
      <c r="GA18"/>
      <c r="GB18"/>
      <c r="GC18"/>
      <c r="GD18"/>
      <c r="GE18"/>
      <c r="GF18"/>
      <c r="GG18"/>
      <c r="GH18"/>
      <c r="GI18" s="211">
        <f>AVERAGE(GI15:GI17)</f>
        <v>228.45038780112608</v>
      </c>
      <c r="GJ18"/>
      <c r="GK18" s="356">
        <f>AVERAGE(GK15:GK17)</f>
        <v>0.1222652692279782</v>
      </c>
      <c r="GL18" s="357">
        <f>GK18*3600</f>
        <v>440.15496922072151</v>
      </c>
    </row>
    <row r="19" spans="18:194" ht="46.5" thickBot="1">
      <c r="R19" s="1"/>
      <c r="S19" s="35" t="s">
        <v>50</v>
      </c>
      <c r="T19" s="1"/>
      <c r="U19" s="1"/>
      <c r="V19" s="77"/>
      <c r="W19" s="78" t="s">
        <v>80</v>
      </c>
      <c r="X19" s="78" t="s">
        <v>76</v>
      </c>
      <c r="Y19" s="94" t="s">
        <v>77</v>
      </c>
      <c r="Z19" s="105" t="s">
        <v>33</v>
      </c>
      <c r="AA19" s="1"/>
      <c r="AB19" s="144"/>
      <c r="AC19" s="1"/>
      <c r="AD19" s="1"/>
      <c r="AE19" s="1"/>
      <c r="AF19" s="1"/>
      <c r="AG19" s="1"/>
      <c r="AH19" s="1"/>
      <c r="AI19" s="1"/>
      <c r="AJ19" s="1"/>
      <c r="AK19" s="1"/>
      <c r="AL19" s="1"/>
      <c r="AM19" s="1"/>
      <c r="AN19" s="1"/>
      <c r="AO19" s="1"/>
      <c r="AP19" s="1"/>
      <c r="AQ19" s="1"/>
      <c r="AR19" s="1"/>
      <c r="AS19" s="1"/>
      <c r="AW19" s="2" t="s">
        <v>14</v>
      </c>
      <c r="AX19" s="49">
        <f>804/841</f>
        <v>0.95600475624256842</v>
      </c>
      <c r="AY19" s="50">
        <v>0.57399999999999995</v>
      </c>
      <c r="AZ19" s="16">
        <f>AX19*AY19</f>
        <v>0.54874673008323427</v>
      </c>
      <c r="BA19" s="55">
        <f>BC10</f>
        <v>0.4112003933878699</v>
      </c>
      <c r="BB19" s="16">
        <f>AZ19/BA19</f>
        <v>1.3344995260391739</v>
      </c>
      <c r="BC19" s="24">
        <f>BB19/WEO!$CJ$9</f>
        <v>8.0046273548928736E-4</v>
      </c>
      <c r="BD19" s="40">
        <f>BC19*$AW$24</f>
        <v>8.0046273548928736E-4</v>
      </c>
      <c r="BE19" s="15">
        <f>BD19+WEO!AD17</f>
        <v>4.4558165900286641E-2</v>
      </c>
      <c r="BF19" s="22">
        <f>BF10/BE19</f>
        <v>2.2869292809460049</v>
      </c>
      <c r="BG19" s="127">
        <f>BF10-BE19</f>
        <v>5.7343208402328684E-2</v>
      </c>
      <c r="BH19" s="121">
        <f>BD19/BE19</f>
        <v>1.7964445333781973E-2</v>
      </c>
      <c r="BI19" s="122">
        <f>AY10/AZ10</f>
        <v>0.62728459530026115</v>
      </c>
      <c r="BJ19" s="1"/>
      <c r="BK19" s="252">
        <v>2.2869292809460049</v>
      </c>
      <c r="BL19" s="253">
        <v>0.99924802727241635</v>
      </c>
      <c r="BM19" s="253">
        <v>0.84133947570904954</v>
      </c>
      <c r="BN19" s="253">
        <v>0.52959331128062759</v>
      </c>
      <c r="BO19" s="254">
        <v>0.39210516426916603</v>
      </c>
      <c r="CP19"/>
      <c r="CQ19"/>
      <c r="CR19"/>
      <c r="CS19"/>
      <c r="CT19"/>
      <c r="CU19"/>
      <c r="DL19" s="279"/>
      <c r="DM19" s="279"/>
      <c r="DN19" s="382"/>
      <c r="DO19" s="382"/>
      <c r="DP19" s="382"/>
      <c r="DQ19" s="382"/>
      <c r="DR19" s="382"/>
      <c r="DS19" s="382"/>
      <c r="DT19" s="382"/>
      <c r="DU19" s="382"/>
      <c r="DV19" s="382"/>
      <c r="DW19" s="382"/>
      <c r="DX19" s="382"/>
      <c r="DY19" s="382"/>
      <c r="DZ19" s="382"/>
      <c r="EA19" s="382"/>
      <c r="EB19" s="382"/>
      <c r="EC19" s="382"/>
      <c r="ED19" s="382"/>
      <c r="EE19" s="382"/>
      <c r="EF19" s="389">
        <f>WEO!BF8*1000</f>
        <v>157.37925375808047</v>
      </c>
      <c r="EG19" s="388">
        <f>EF19*0.14</f>
        <v>22.033095526131266</v>
      </c>
      <c r="EH19" s="279"/>
      <c r="EI19" s="279"/>
      <c r="EM19" s="2" t="s">
        <v>14</v>
      </c>
      <c r="EN19" s="49">
        <f>804/841</f>
        <v>0.95600475624256842</v>
      </c>
      <c r="EO19" s="50">
        <v>0.57399999999999995</v>
      </c>
      <c r="EP19" s="16">
        <f>EN19*EO19</f>
        <v>0.54874673008323427</v>
      </c>
      <c r="EQ19" s="55"/>
      <c r="ER19" s="16">
        <f>EP19*((ES10+ET10)/ES10)</f>
        <v>0.86287285405322689</v>
      </c>
      <c r="ES19" s="24">
        <f>ER19/WEO!$CJ$9</f>
        <v>5.1757048365906979E-4</v>
      </c>
      <c r="ET19" s="40">
        <f>ES19*WEO!$AW$24</f>
        <v>5.1757048365906979E-4</v>
      </c>
      <c r="EU19" s="15">
        <f>ET19+SUM(WEO!AG17:AK17)</f>
        <v>1.3341209065418243E-2</v>
      </c>
      <c r="EV19" s="207">
        <f>EX10/EU19</f>
        <v>4.9387066852046635</v>
      </c>
      <c r="EW19" s="127">
        <f>EX10-EU19</f>
        <v>5.2547109334675893E-2</v>
      </c>
      <c r="EX19" s="121">
        <f>ET19/EU19</f>
        <v>3.8794870923705455E-2</v>
      </c>
      <c r="EY19" s="122">
        <f>EO10/EP10</f>
        <v>0.62728459530026115</v>
      </c>
      <c r="FW19" s="390"/>
      <c r="FX19" s="390"/>
      <c r="FY19" s="390"/>
      <c r="FZ19" s="390"/>
      <c r="GA19" s="390"/>
      <c r="GB19" s="390"/>
      <c r="GC19" s="390"/>
      <c r="GD19" s="390"/>
      <c r="GE19" s="390"/>
      <c r="GF19" s="390"/>
      <c r="GG19" s="390"/>
      <c r="GH19" s="390"/>
      <c r="GI19" s="391"/>
      <c r="GJ19" s="390"/>
      <c r="GK19" s="390"/>
      <c r="GL19" s="390"/>
    </row>
    <row r="20" spans="18:194" ht="30.75">
      <c r="R20" s="1"/>
      <c r="S20" s="36" t="s">
        <v>51</v>
      </c>
      <c r="T20" s="1"/>
      <c r="U20" s="1"/>
      <c r="V20" s="80"/>
      <c r="W20" s="42" t="s">
        <v>16</v>
      </c>
      <c r="X20" s="42" t="s">
        <v>78</v>
      </c>
      <c r="Y20" s="42" t="s">
        <v>69</v>
      </c>
      <c r="Z20" s="106" t="s">
        <v>81</v>
      </c>
      <c r="AA20" s="1"/>
      <c r="AB20" s="268"/>
      <c r="AC20" s="1"/>
      <c r="AD20" s="1"/>
      <c r="AE20" s="1"/>
      <c r="AF20" s="1"/>
      <c r="AG20" s="1"/>
      <c r="AH20" s="1"/>
      <c r="AI20" s="1"/>
      <c r="AJ20" s="1"/>
      <c r="AK20" s="1"/>
      <c r="AL20" s="1"/>
      <c r="AM20" s="1"/>
      <c r="AN20" s="1"/>
      <c r="AO20" s="1"/>
      <c r="AP20" s="1"/>
      <c r="AQ20" s="1"/>
      <c r="AR20" s="1"/>
      <c r="AS20" s="1"/>
      <c r="AW20" s="1"/>
      <c r="AX20" s="76" t="s">
        <v>52</v>
      </c>
      <c r="AY20" s="76" t="s">
        <v>54</v>
      </c>
      <c r="AZ20" s="1"/>
      <c r="BA20" s="76" t="s">
        <v>53</v>
      </c>
      <c r="BB20" s="1"/>
      <c r="BC20" s="1"/>
      <c r="BD20" s="1"/>
      <c r="BE20" s="1"/>
      <c r="BF20" s="323">
        <f>AVERAGE(BF17:BF19)</f>
        <v>2.4147695285945541</v>
      </c>
      <c r="BG20" s="180">
        <f>AVERAGE(BG17:BG19)</f>
        <v>9.7136499839590218E-2</v>
      </c>
      <c r="BH20" s="181">
        <f>AVERAGE(BH17:BH19)</f>
        <v>2.4525391565411944E-2</v>
      </c>
      <c r="BI20" s="181">
        <f>AVERAGE(BI17:BI19)</f>
        <v>0.80440840195334484</v>
      </c>
      <c r="BJ20" s="1"/>
      <c r="BK20" s="1"/>
      <c r="BL20" s="1"/>
      <c r="BM20" s="1"/>
      <c r="BN20" s="1"/>
      <c r="BO20" s="1"/>
      <c r="CP20"/>
      <c r="CQ20"/>
      <c r="CR20"/>
      <c r="CS20"/>
      <c r="CT20"/>
      <c r="CU20"/>
      <c r="DL20" s="279"/>
      <c r="DM20" s="279"/>
      <c r="DN20" s="382"/>
      <c r="DO20" s="382"/>
      <c r="DP20" s="382"/>
      <c r="DQ20" s="382"/>
      <c r="DR20" s="382"/>
      <c r="DS20" s="382"/>
      <c r="DT20" s="382"/>
      <c r="DU20" s="382"/>
      <c r="DV20" s="382"/>
      <c r="DW20" s="382"/>
      <c r="DX20" s="382"/>
      <c r="DY20" s="382"/>
      <c r="DZ20" s="382"/>
      <c r="EA20" s="382"/>
      <c r="EB20" s="382"/>
      <c r="EC20" s="382"/>
      <c r="ED20" s="382"/>
      <c r="EE20" s="382"/>
      <c r="EF20" s="382"/>
      <c r="EG20" s="382"/>
      <c r="EH20" s="279"/>
      <c r="EI20" s="279"/>
      <c r="EM20" s="1"/>
      <c r="EN20" s="76" t="s">
        <v>52</v>
      </c>
      <c r="EO20" s="76" t="s">
        <v>54</v>
      </c>
      <c r="EP20" s="1"/>
      <c r="EQ20" s="76"/>
      <c r="ER20" s="1"/>
      <c r="ES20" s="1"/>
      <c r="ET20" s="1"/>
      <c r="EU20" s="1"/>
      <c r="EV20" s="1"/>
      <c r="EW20" s="180">
        <f>AVERAGE(EW17:EW19)</f>
        <v>8.1133632777328157E-2</v>
      </c>
      <c r="EX20" s="181">
        <f>AVERAGE(EX17:EX19)</f>
        <v>4.7215962374689523E-2</v>
      </c>
      <c r="EY20" s="181">
        <f>AVERAGE(EY17:EY19)</f>
        <v>0.80440840195334484</v>
      </c>
      <c r="GC20" s="390"/>
      <c r="GD20" s="390"/>
      <c r="GE20" s="390"/>
      <c r="GF20" s="390"/>
      <c r="GG20" s="390"/>
      <c r="GH20" s="390"/>
      <c r="GI20" s="390"/>
      <c r="GJ20" s="390"/>
      <c r="GK20" s="390"/>
      <c r="GL20" s="390"/>
    </row>
    <row r="21" spans="18:194" ht="20.25">
      <c r="R21" s="1"/>
      <c r="S21" s="37">
        <v>0.64729999999999999</v>
      </c>
      <c r="T21" s="1"/>
      <c r="U21" s="1"/>
      <c r="V21" s="82" t="s">
        <v>12</v>
      </c>
      <c r="W21" s="277">
        <f>29.475/1000</f>
        <v>2.9475000000000001E-2</v>
      </c>
      <c r="X21" s="42">
        <v>4.0179999999999998</v>
      </c>
      <c r="Y21" s="42">
        <v>0.69899999999999995</v>
      </c>
      <c r="Z21" s="275">
        <f>$R$30*Z15</f>
        <v>1.112544E-3</v>
      </c>
      <c r="AA21" s="1"/>
      <c r="AB21" s="269"/>
      <c r="AC21" s="1"/>
      <c r="AD21" s="1"/>
      <c r="AE21" s="1"/>
      <c r="AF21" s="1"/>
      <c r="AG21" s="1"/>
      <c r="AH21" s="1"/>
      <c r="AI21" s="1"/>
      <c r="AJ21" s="1"/>
      <c r="AK21" s="1"/>
      <c r="AL21" s="1"/>
      <c r="AM21" s="1"/>
      <c r="AN21" s="1"/>
      <c r="AO21" s="1"/>
      <c r="AP21" s="1"/>
      <c r="AQ21" s="1"/>
      <c r="AR21" s="1"/>
      <c r="AS21" s="1"/>
      <c r="AW21" s="1"/>
      <c r="AX21" s="1"/>
      <c r="AY21" s="1"/>
      <c r="AZ21" s="1"/>
      <c r="BA21" s="1"/>
      <c r="BB21" s="1"/>
      <c r="BC21" s="1"/>
      <c r="BD21" s="1"/>
      <c r="BE21" s="1"/>
      <c r="BF21" s="1"/>
      <c r="BG21" s="1"/>
      <c r="BH21" s="1"/>
      <c r="BI21" s="1"/>
      <c r="BJ21" s="1"/>
      <c r="BK21" s="1"/>
      <c r="BL21" s="1"/>
      <c r="BM21" s="1"/>
      <c r="BN21" s="1"/>
      <c r="BO21" s="1"/>
      <c r="CP21"/>
      <c r="CQ21"/>
      <c r="CR21"/>
      <c r="CS21"/>
      <c r="CT21"/>
      <c r="CU21"/>
      <c r="DL21" s="279"/>
      <c r="DM21" s="279"/>
      <c r="DN21" s="382"/>
      <c r="DO21" s="382"/>
      <c r="DP21" s="382"/>
      <c r="DQ21" s="382"/>
      <c r="DR21" s="382"/>
      <c r="DS21" s="382"/>
      <c r="DT21" s="382"/>
      <c r="DU21" s="382"/>
      <c r="DV21" s="382"/>
      <c r="DW21" s="382"/>
      <c r="DX21" s="382"/>
      <c r="DY21" s="382"/>
      <c r="DZ21" s="382"/>
      <c r="EA21" s="382"/>
      <c r="EB21" s="382"/>
      <c r="EC21" s="382"/>
      <c r="ED21" s="382"/>
      <c r="EE21" s="382"/>
      <c r="EF21" s="382"/>
      <c r="EG21" s="382"/>
      <c r="EH21" s="279"/>
      <c r="EI21" s="279"/>
      <c r="GC21" s="390"/>
      <c r="GD21" s="390"/>
      <c r="GE21" s="390"/>
      <c r="GF21" s="390"/>
      <c r="GG21" s="390"/>
      <c r="GH21" s="390"/>
      <c r="GI21" s="390"/>
      <c r="GJ21" s="390"/>
      <c r="GK21" s="390"/>
      <c r="GL21" s="390"/>
    </row>
    <row r="22" spans="18:194" ht="30">
      <c r="R22" s="1"/>
      <c r="S22" s="200">
        <v>0.51759999999999995</v>
      </c>
      <c r="T22" s="1"/>
      <c r="U22" s="1"/>
      <c r="V22" s="82" t="s">
        <v>13</v>
      </c>
      <c r="W22" s="277">
        <f>77.339/1000</f>
        <v>7.7339000000000005E-2</v>
      </c>
      <c r="X22" s="42">
        <v>4.0220000000000002</v>
      </c>
      <c r="Y22" s="42">
        <v>0.76500000000000001</v>
      </c>
      <c r="Z22" s="275">
        <f>$R$30*Z16</f>
        <v>1.1640959999999999E-3</v>
      </c>
      <c r="AA22" s="1"/>
      <c r="AB22" s="269"/>
      <c r="AC22" s="1"/>
      <c r="AD22" s="1"/>
      <c r="AE22" s="1"/>
      <c r="AF22" s="1"/>
      <c r="AG22" s="1"/>
      <c r="AH22" s="1"/>
      <c r="AI22" s="1"/>
      <c r="AJ22" s="1"/>
      <c r="AK22" s="1"/>
      <c r="AL22" s="1"/>
      <c r="AM22" s="1"/>
      <c r="AN22" s="1"/>
      <c r="AO22" s="1"/>
      <c r="AP22" s="1"/>
      <c r="AQ22" s="1"/>
      <c r="AR22" s="1"/>
      <c r="AS22" s="1"/>
      <c r="AW22" s="270" t="s">
        <v>181</v>
      </c>
      <c r="AX22" s="260"/>
      <c r="AY22" s="260"/>
      <c r="AZ22" s="260"/>
      <c r="BA22" s="260"/>
      <c r="BB22" s="1"/>
      <c r="BC22" s="300">
        <v>285.89999999999998</v>
      </c>
      <c r="BD22" s="300" t="s">
        <v>58</v>
      </c>
      <c r="BE22" s="1"/>
      <c r="BF22" s="1"/>
      <c r="BG22" s="117">
        <f>BG20*1000</f>
        <v>97.136499839590215</v>
      </c>
      <c r="BH22" s="1" t="s">
        <v>246</v>
      </c>
      <c r="BI22" s="1"/>
      <c r="BJ22" s="1"/>
      <c r="BK22" s="1"/>
      <c r="BL22" s="1"/>
      <c r="BM22" s="1"/>
      <c r="BN22" s="1"/>
      <c r="BO22" s="1"/>
      <c r="CP22"/>
      <c r="CQ22"/>
      <c r="CR22"/>
      <c r="CS22"/>
      <c r="CT22"/>
      <c r="CU22"/>
      <c r="DL22" s="279"/>
      <c r="DM22" s="279"/>
      <c r="DN22" s="382"/>
      <c r="DO22" s="382"/>
      <c r="DP22" s="382"/>
      <c r="DQ22" s="382"/>
      <c r="DR22" s="382"/>
      <c r="DS22" s="382"/>
      <c r="DT22" s="382"/>
      <c r="DU22" s="382"/>
      <c r="DV22" s="382"/>
      <c r="DW22" s="382"/>
      <c r="DX22" s="382"/>
      <c r="DY22" s="382"/>
      <c r="DZ22" s="382"/>
      <c r="EA22" s="382"/>
      <c r="EB22" s="382"/>
      <c r="EC22" s="382"/>
      <c r="ED22" s="382"/>
      <c r="EE22" s="382"/>
      <c r="EF22" s="382"/>
      <c r="EG22" s="382"/>
      <c r="EH22" s="279"/>
      <c r="EI22" s="279"/>
    </row>
    <row r="23" spans="18:194" ht="21" thickBot="1">
      <c r="R23" s="1"/>
      <c r="S23" s="38">
        <v>0.48139999999999999</v>
      </c>
      <c r="T23" s="1"/>
      <c r="U23" s="1"/>
      <c r="V23" s="83" t="s">
        <v>14</v>
      </c>
      <c r="W23" s="278">
        <f>10.331/1000</f>
        <v>1.0331E-2</v>
      </c>
      <c r="X23" s="84">
        <v>0.80400000000000005</v>
      </c>
      <c r="Y23" s="84">
        <v>0.84099999999999997</v>
      </c>
      <c r="Z23" s="276">
        <f>$R$30*Z17</f>
        <v>1.6176960000000001E-3</v>
      </c>
      <c r="AA23" s="1"/>
      <c r="AB23" s="269"/>
      <c r="AC23" s="1"/>
      <c r="AD23" s="1"/>
      <c r="AE23" s="1"/>
      <c r="AF23" s="1"/>
      <c r="AG23" s="1"/>
      <c r="AH23" s="1"/>
      <c r="AI23" s="1"/>
      <c r="AJ23" s="1"/>
      <c r="AK23" s="1"/>
      <c r="AL23" s="1"/>
      <c r="AM23" s="1"/>
      <c r="AN23" s="1"/>
      <c r="AO23" s="1"/>
      <c r="AP23" s="1"/>
      <c r="AQ23" s="1"/>
      <c r="AR23" s="1"/>
      <c r="AS23" s="1"/>
      <c r="AW23" s="260">
        <v>3.6</v>
      </c>
      <c r="AX23" s="260" t="s">
        <v>34</v>
      </c>
      <c r="AY23" s="260" t="s">
        <v>180</v>
      </c>
      <c r="AZ23" s="260"/>
      <c r="BA23" s="260"/>
      <c r="BB23" s="1"/>
      <c r="BC23" s="301">
        <f>BC22/3600</f>
        <v>7.9416666666666663E-2</v>
      </c>
      <c r="BD23" s="300" t="s">
        <v>59</v>
      </c>
      <c r="BE23" s="1"/>
      <c r="BF23" s="1"/>
      <c r="BG23" s="1"/>
      <c r="BH23" s="1"/>
      <c r="BI23" s="1"/>
      <c r="BJ23" s="1"/>
      <c r="BK23" s="1"/>
      <c r="BL23" s="1"/>
      <c r="BM23" s="1"/>
      <c r="BN23" s="1"/>
      <c r="BO23" s="1"/>
      <c r="CP23"/>
      <c r="CQ23"/>
      <c r="CR23"/>
      <c r="CS23"/>
      <c r="CT23"/>
      <c r="CU23"/>
      <c r="DL23" s="279"/>
      <c r="DM23" s="279"/>
      <c r="DN23" s="382"/>
      <c r="DO23" s="382"/>
      <c r="DP23" s="382"/>
      <c r="DQ23" s="382"/>
      <c r="DR23" s="382"/>
      <c r="DS23" s="382"/>
      <c r="DT23" s="382"/>
      <c r="DU23" s="382"/>
      <c r="DV23" s="382"/>
      <c r="DW23" s="382"/>
      <c r="DX23" s="382"/>
      <c r="DY23" s="382"/>
      <c r="DZ23" s="382"/>
      <c r="EA23" s="382"/>
      <c r="EB23" s="382"/>
      <c r="EC23" s="382"/>
      <c r="ED23" s="382"/>
      <c r="EE23" s="382"/>
      <c r="EF23" s="382"/>
      <c r="EG23" s="382"/>
      <c r="EH23" s="279"/>
      <c r="EI23" s="279"/>
    </row>
    <row r="24" spans="18:194" ht="21" thickBot="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W24" s="274">
        <f>AW23*1000/3600</f>
        <v>1</v>
      </c>
      <c r="AX24" s="260" t="s">
        <v>28</v>
      </c>
      <c r="AY24" s="260"/>
      <c r="AZ24" s="260"/>
      <c r="BA24" s="260"/>
      <c r="BB24" s="1"/>
      <c r="BC24" s="1"/>
      <c r="BD24" s="1"/>
      <c r="BE24" s="1"/>
      <c r="BF24" s="1"/>
      <c r="BG24" s="1"/>
      <c r="BH24" s="1"/>
      <c r="BI24" s="1"/>
      <c r="BJ24" s="1"/>
      <c r="BK24" s="1"/>
      <c r="BL24" s="1"/>
      <c r="BM24" s="1"/>
      <c r="BN24" s="1"/>
      <c r="BO24" s="1"/>
      <c r="CP24"/>
      <c r="CQ24"/>
      <c r="CR24"/>
      <c r="CS24"/>
      <c r="CT24"/>
      <c r="CU24"/>
      <c r="DL24" s="279"/>
      <c r="DM24" s="279"/>
      <c r="DN24" s="382"/>
      <c r="DO24" s="382"/>
      <c r="DP24" s="382"/>
      <c r="DQ24" s="382"/>
      <c r="DR24" s="382"/>
      <c r="DS24" s="382"/>
      <c r="DT24" s="382"/>
      <c r="DU24" s="382"/>
      <c r="DV24" s="382"/>
      <c r="DW24" s="382"/>
      <c r="DX24" s="382"/>
      <c r="DY24" s="382"/>
      <c r="DZ24" s="382"/>
      <c r="EA24" s="382"/>
      <c r="EB24" s="382"/>
      <c r="EC24" s="382"/>
      <c r="ED24" s="382"/>
      <c r="EE24" s="382"/>
      <c r="EF24" s="382"/>
      <c r="EG24" s="382"/>
      <c r="EH24" s="279"/>
      <c r="EI24" s="279"/>
    </row>
    <row r="25" spans="18:194" ht="20.25">
      <c r="R25" s="256" t="s">
        <v>179</v>
      </c>
      <c r="S25" s="257"/>
      <c r="T25" s="258"/>
      <c r="U25" s="259"/>
      <c r="V25" s="1"/>
      <c r="W25" s="1"/>
      <c r="X25" s="1"/>
      <c r="Y25" s="1"/>
      <c r="Z25" s="1"/>
      <c r="AA25" s="1"/>
      <c r="AB25" s="1"/>
      <c r="AC25" s="1"/>
      <c r="AD25" s="1"/>
      <c r="AE25" s="1"/>
      <c r="AF25" s="1"/>
      <c r="AG25" s="1"/>
      <c r="AH25" s="1"/>
      <c r="AI25" s="1"/>
      <c r="AJ25" s="1"/>
      <c r="AK25" s="1"/>
      <c r="AL25" s="1"/>
      <c r="AM25" s="1"/>
      <c r="AN25" s="1"/>
      <c r="AO25" s="1"/>
      <c r="AP25" s="1"/>
      <c r="AQ25" s="1"/>
      <c r="AR25" s="1"/>
      <c r="AS25" s="1"/>
      <c r="AW25" s="397"/>
      <c r="AX25" s="397"/>
      <c r="AY25" s="397"/>
      <c r="AZ25" s="397"/>
      <c r="BA25" s="397"/>
      <c r="BB25" s="397"/>
      <c r="BC25" s="397"/>
      <c r="BD25" s="397"/>
      <c r="BE25" s="397"/>
      <c r="BF25" s="397"/>
      <c r="BG25" s="397"/>
      <c r="BH25" s="397"/>
      <c r="BI25" s="397"/>
      <c r="BJ25" s="397"/>
      <c r="BK25" s="397"/>
      <c r="BL25" s="397"/>
      <c r="BM25" s="397"/>
      <c r="BN25" s="397"/>
      <c r="BO25" s="397"/>
      <c r="CP25" s="290" t="s">
        <v>185</v>
      </c>
      <c r="CQ25" s="282"/>
      <c r="CR25" s="282"/>
      <c r="CS25" s="282"/>
      <c r="CT25" s="282"/>
      <c r="CU25" s="282"/>
      <c r="DL25" s="279"/>
      <c r="DM25" s="279"/>
      <c r="DN25" s="382"/>
      <c r="DO25" s="382"/>
      <c r="DP25" s="382"/>
      <c r="DQ25" s="382"/>
      <c r="DR25" s="382"/>
      <c r="DS25" s="382"/>
      <c r="DT25" s="382"/>
      <c r="DU25" s="382"/>
      <c r="DV25" s="382"/>
      <c r="DW25" s="382"/>
      <c r="DX25" s="382"/>
      <c r="DY25" s="382"/>
      <c r="DZ25" s="382"/>
      <c r="EA25" s="382"/>
      <c r="EB25" s="382"/>
      <c r="EC25" s="382"/>
      <c r="ED25" s="382"/>
      <c r="EE25" s="382"/>
      <c r="EF25" s="382"/>
      <c r="EG25" s="382"/>
      <c r="EH25" s="279"/>
      <c r="EI25" s="279"/>
    </row>
    <row r="26" spans="18:194" ht="30.75">
      <c r="R26" s="264">
        <v>0.1</v>
      </c>
      <c r="S26" s="262" t="s">
        <v>178</v>
      </c>
      <c r="T26" s="262"/>
      <c r="U26" s="263"/>
      <c r="V26" s="1"/>
      <c r="W26" s="1"/>
      <c r="X26" s="1"/>
      <c r="Y26" s="1"/>
      <c r="Z26" s="1"/>
      <c r="AA26" s="1"/>
      <c r="AB26" s="1"/>
      <c r="AC26" s="1"/>
      <c r="AD26" s="1"/>
      <c r="AE26" s="1"/>
      <c r="AF26" s="1"/>
      <c r="AG26" s="1"/>
      <c r="AH26" s="1"/>
      <c r="AI26" s="1"/>
      <c r="AJ26" s="1"/>
      <c r="AK26" s="1"/>
      <c r="AL26" s="1"/>
      <c r="AM26" s="1"/>
      <c r="AN26" s="1"/>
      <c r="AO26" s="1"/>
      <c r="AP26" s="1"/>
      <c r="AQ26" s="1"/>
      <c r="AR26" s="1"/>
      <c r="AS26" s="1"/>
      <c r="AY26" s="397"/>
      <c r="AZ26" s="397"/>
      <c r="BA26" s="397"/>
      <c r="BB26" s="397"/>
      <c r="BC26" s="397"/>
      <c r="BD26" s="397"/>
      <c r="BE26" s="397"/>
      <c r="BF26" s="397"/>
      <c r="BG26" s="397"/>
      <c r="BH26" s="397"/>
      <c r="BI26" s="397"/>
      <c r="BJ26" s="397"/>
      <c r="BK26" s="397"/>
      <c r="BL26" s="397"/>
      <c r="BM26" s="397"/>
      <c r="BN26" s="397"/>
      <c r="BO26" s="397"/>
      <c r="CP26" s="282"/>
      <c r="CQ26" s="334" t="s">
        <v>175</v>
      </c>
      <c r="CR26" s="334" t="s">
        <v>176</v>
      </c>
      <c r="CS26" s="334" t="s">
        <v>85</v>
      </c>
      <c r="CT26" s="334" t="s">
        <v>83</v>
      </c>
      <c r="CU26" s="282" t="s">
        <v>19</v>
      </c>
      <c r="DL26" s="279"/>
      <c r="DM26" s="279"/>
      <c r="DN26" s="382"/>
      <c r="DO26" s="382"/>
      <c r="DP26" s="382"/>
      <c r="DQ26" s="382"/>
      <c r="DR26" s="382"/>
      <c r="DS26" s="382"/>
      <c r="DT26" s="382"/>
      <c r="DU26" s="382"/>
      <c r="DV26" s="382"/>
      <c r="DW26" s="382"/>
      <c r="DX26" s="382"/>
      <c r="DY26" s="382"/>
      <c r="DZ26" s="382"/>
      <c r="EA26" s="382"/>
      <c r="EB26" s="382"/>
      <c r="EC26" s="389">
        <f>WEO!BI8*1000</f>
        <v>2323.4048351452002</v>
      </c>
      <c r="ED26" s="382"/>
      <c r="EE26" s="382"/>
      <c r="EF26" s="382"/>
      <c r="EG26" s="382"/>
      <c r="EH26" s="279"/>
      <c r="EI26" s="279"/>
    </row>
    <row r="27" spans="18:194" ht="20.25">
      <c r="R27" s="261">
        <f>R26*1000/10*(2/5)</f>
        <v>4</v>
      </c>
      <c r="S27" s="262" t="s">
        <v>183</v>
      </c>
      <c r="T27" s="262"/>
      <c r="U27" s="263"/>
      <c r="V27" s="1"/>
      <c r="W27" s="1"/>
      <c r="X27" s="1"/>
      <c r="Y27" s="1"/>
      <c r="Z27" s="1"/>
      <c r="AA27" s="1"/>
      <c r="AB27" s="1"/>
      <c r="AC27" s="1"/>
      <c r="AD27" s="1"/>
      <c r="AE27" s="1"/>
      <c r="AF27" s="1"/>
      <c r="AG27" s="1"/>
      <c r="AH27" s="1"/>
      <c r="AI27" s="1"/>
      <c r="AJ27" s="1"/>
      <c r="AK27" s="1"/>
      <c r="AL27" s="1"/>
      <c r="AM27" s="1"/>
      <c r="AN27" s="1"/>
      <c r="AO27" s="1"/>
      <c r="AP27" s="1"/>
      <c r="AQ27" s="1"/>
      <c r="AR27" s="1"/>
      <c r="AS27" s="1"/>
      <c r="AY27" s="397"/>
      <c r="AZ27" s="397"/>
      <c r="BA27" s="397"/>
      <c r="BB27" s="397"/>
      <c r="BC27" s="397"/>
      <c r="BD27" s="397"/>
      <c r="BE27" s="397"/>
      <c r="BF27" s="397"/>
      <c r="BG27" s="397"/>
      <c r="BH27" s="397"/>
      <c r="BI27" s="397"/>
      <c r="BJ27" s="397"/>
      <c r="BK27" s="397"/>
      <c r="BL27" s="397"/>
      <c r="BM27" s="397"/>
      <c r="BN27" s="397"/>
      <c r="BO27" s="397"/>
      <c r="CP27" s="282" t="str">
        <f>CP5</f>
        <v>Wholesalers mango</v>
      </c>
      <c r="CQ27" s="283">
        <f>CQ5/$CU$5</f>
        <v>1.4443143170225856E-2</v>
      </c>
      <c r="CR27" s="283">
        <f>CR5/$CU$5</f>
        <v>3.128795278871184E-2</v>
      </c>
      <c r="CS27" s="283">
        <f>CS5/$CU$5</f>
        <v>0.38264701885265395</v>
      </c>
      <c r="CT27" s="283">
        <f>CT5/$CU$5</f>
        <v>0.5716218851884084</v>
      </c>
      <c r="CU27" s="333">
        <f>SUM(CQ27:CT27)</f>
        <v>1</v>
      </c>
      <c r="DL27" s="279"/>
      <c r="DM27" s="279"/>
      <c r="DN27" s="382"/>
      <c r="DO27" s="382"/>
      <c r="DP27" s="382"/>
      <c r="DQ27" s="382"/>
      <c r="DR27" s="382"/>
      <c r="DS27" s="382"/>
      <c r="DT27" s="382"/>
      <c r="DU27" s="382"/>
      <c r="DV27" s="382"/>
      <c r="DW27" s="382"/>
      <c r="DX27" s="382"/>
      <c r="DY27" s="382"/>
      <c r="DZ27" s="382"/>
      <c r="EA27" s="382"/>
      <c r="EB27" s="382"/>
      <c r="EC27" s="382"/>
      <c r="ED27" s="382"/>
      <c r="EE27" s="382"/>
      <c r="EF27" s="382"/>
      <c r="EG27" s="382"/>
      <c r="EH27" s="279"/>
      <c r="EI27" s="279"/>
    </row>
    <row r="28" spans="18:194" ht="20.25">
      <c r="R28" s="264">
        <f>R27*(3/1000)</f>
        <v>1.2E-2</v>
      </c>
      <c r="S28" s="262" t="s">
        <v>93</v>
      </c>
      <c r="T28" s="262"/>
      <c r="U28" s="263"/>
      <c r="V28" s="1"/>
      <c r="W28" s="1"/>
      <c r="X28" s="1"/>
      <c r="Y28" s="1"/>
      <c r="Z28" s="1"/>
      <c r="AA28" s="1"/>
      <c r="AB28" s="1"/>
      <c r="AC28" s="1"/>
      <c r="AD28" s="1"/>
      <c r="AE28" s="1"/>
      <c r="AF28" s="1"/>
      <c r="AG28" s="1"/>
      <c r="AH28" s="1"/>
      <c r="AI28" s="1"/>
      <c r="AJ28" s="1"/>
      <c r="AK28" s="1"/>
      <c r="AL28" s="1"/>
      <c r="AM28" s="1"/>
      <c r="AN28" s="1"/>
      <c r="AO28" s="1"/>
      <c r="AP28" s="1"/>
      <c r="AQ28" s="1"/>
      <c r="AR28" s="1"/>
      <c r="AS28" s="1"/>
      <c r="AY28" s="397"/>
      <c r="AZ28" s="397"/>
      <c r="BA28" s="397"/>
      <c r="BB28" s="397"/>
      <c r="BC28" s="397"/>
      <c r="BD28" s="397"/>
      <c r="BE28" s="397"/>
      <c r="BF28" s="397"/>
      <c r="BG28" s="397"/>
      <c r="BH28" s="397"/>
      <c r="BI28" s="397"/>
      <c r="BJ28" s="397"/>
      <c r="BK28" s="397"/>
      <c r="BL28" s="397"/>
      <c r="BM28" s="397"/>
      <c r="BN28" s="397"/>
      <c r="BO28" s="397"/>
      <c r="CP28" s="282" t="str">
        <f>CP6</f>
        <v>Wholesalers asian pear</v>
      </c>
      <c r="CQ28" s="283">
        <f t="shared" ref="CQ28:CT29" si="2">CQ6/$CU6</f>
        <v>1.1736944241558593E-2</v>
      </c>
      <c r="CR28" s="283">
        <f t="shared" si="2"/>
        <v>2.4323776573742014E-2</v>
      </c>
      <c r="CS28" s="283">
        <f t="shared" si="2"/>
        <v>0.77976690126750736</v>
      </c>
      <c r="CT28" s="283">
        <f t="shared" si="2"/>
        <v>0.18417237791719207</v>
      </c>
      <c r="CU28" s="333">
        <f>SUM(CQ28:CT28)</f>
        <v>1</v>
      </c>
      <c r="DL28" s="279"/>
      <c r="DM28" s="279"/>
      <c r="DN28" s="382"/>
      <c r="DO28" s="382"/>
      <c r="DP28" s="382"/>
      <c r="DQ28" s="382"/>
      <c r="DR28" s="382"/>
      <c r="DS28" s="382"/>
      <c r="DT28" s="382"/>
      <c r="DU28" s="382"/>
      <c r="DV28" s="382"/>
      <c r="DW28" s="382"/>
      <c r="DX28" s="382"/>
      <c r="DY28" s="382"/>
      <c r="DZ28" s="382"/>
      <c r="EA28" s="382"/>
      <c r="EB28" s="382"/>
      <c r="EC28" s="382"/>
      <c r="ED28" s="382"/>
      <c r="EE28" s="382"/>
      <c r="EF28" s="382"/>
      <c r="EG28" s="382"/>
      <c r="EH28" s="279"/>
      <c r="EI28" s="279"/>
    </row>
    <row r="29" spans="18:194" ht="20.25">
      <c r="R29" s="264">
        <f>R28*24</f>
        <v>0.28800000000000003</v>
      </c>
      <c r="S29" s="262" t="s">
        <v>95</v>
      </c>
      <c r="T29" s="262"/>
      <c r="U29" s="263"/>
      <c r="V29" s="1"/>
      <c r="W29" s="1"/>
      <c r="X29" s="1"/>
      <c r="Y29" s="1"/>
      <c r="Z29" s="1"/>
      <c r="AA29" s="1"/>
      <c r="AB29" s="1"/>
      <c r="AC29" s="1"/>
      <c r="AD29" s="1"/>
      <c r="AE29" s="1"/>
      <c r="AF29" s="1"/>
      <c r="AG29" s="1"/>
      <c r="AH29" s="1"/>
      <c r="AI29" s="1"/>
      <c r="AJ29" s="1"/>
      <c r="AK29" s="1"/>
      <c r="AL29" s="1"/>
      <c r="AM29" s="1"/>
      <c r="AN29" s="1"/>
      <c r="AO29" s="1"/>
      <c r="AP29" s="1"/>
      <c r="AQ29" s="1"/>
      <c r="AR29" s="1"/>
      <c r="AS29" s="1"/>
      <c r="AY29" s="397"/>
      <c r="AZ29" s="397"/>
      <c r="BA29" s="397"/>
      <c r="BB29" s="397"/>
      <c r="BC29" s="397"/>
      <c r="BD29" s="397"/>
      <c r="BE29" s="397"/>
      <c r="BF29" s="397"/>
      <c r="BG29" s="397"/>
      <c r="BH29" s="397"/>
      <c r="BI29" s="397"/>
      <c r="BJ29" s="397"/>
      <c r="BK29" s="397"/>
      <c r="BL29" s="397"/>
      <c r="BM29" s="397"/>
      <c r="BN29" s="397"/>
      <c r="BO29" s="397"/>
      <c r="CP29" s="282" t="str">
        <f>CP7</f>
        <v>Catering waste 1</v>
      </c>
      <c r="CQ29" s="283">
        <f t="shared" si="2"/>
        <v>6.0260395906175317E-2</v>
      </c>
      <c r="CR29" s="283">
        <f t="shared" si="2"/>
        <v>1.7964445333781977E-2</v>
      </c>
      <c r="CS29" s="283">
        <f t="shared" si="2"/>
        <v>0.38483754061745662</v>
      </c>
      <c r="CT29" s="283">
        <f t="shared" si="2"/>
        <v>0.53693761814258611</v>
      </c>
      <c r="CU29" s="333">
        <f>SUM(CQ29:CT29)</f>
        <v>1</v>
      </c>
      <c r="DL29" s="279"/>
      <c r="DM29" s="279"/>
      <c r="DN29" s="382"/>
      <c r="DO29" s="382"/>
      <c r="DP29" s="382"/>
      <c r="DQ29" s="382"/>
      <c r="DR29" s="382"/>
      <c r="DS29" s="382"/>
      <c r="DT29" s="382"/>
      <c r="DU29" s="382"/>
      <c r="DV29" s="382"/>
      <c r="DW29" s="382"/>
      <c r="DX29" s="382"/>
      <c r="DY29" s="382"/>
      <c r="DZ29" s="382"/>
      <c r="EA29" s="382"/>
      <c r="EB29" s="382"/>
      <c r="EC29" s="382"/>
      <c r="ED29" s="382"/>
      <c r="EE29" s="382"/>
      <c r="EF29" s="382"/>
      <c r="EG29" s="382"/>
      <c r="EH29" s="279"/>
      <c r="EI29" s="279"/>
    </row>
    <row r="30" spans="18:194" ht="21" thickBot="1">
      <c r="R30" s="265">
        <f>R29/1000</f>
        <v>2.8800000000000001E-4</v>
      </c>
      <c r="S30" s="266" t="s">
        <v>94</v>
      </c>
      <c r="T30" s="266"/>
      <c r="U30" s="267"/>
      <c r="V30" s="1"/>
      <c r="W30" s="1"/>
      <c r="X30" s="1"/>
      <c r="Y30" s="1"/>
      <c r="Z30" s="1"/>
      <c r="AA30" s="1"/>
      <c r="AB30" s="1"/>
      <c r="AC30" s="1"/>
      <c r="AD30" s="1"/>
      <c r="AE30" s="1"/>
      <c r="AF30" s="1"/>
      <c r="AG30" s="1"/>
      <c r="AH30" s="1"/>
      <c r="AI30" s="1"/>
      <c r="AJ30" s="1"/>
      <c r="AK30" s="1"/>
      <c r="AL30" s="1"/>
      <c r="AM30" s="1"/>
      <c r="AN30" s="1"/>
      <c r="AO30" s="1"/>
      <c r="AP30" s="1"/>
      <c r="AQ30" s="1"/>
      <c r="AR30" s="1"/>
      <c r="AS30" s="1"/>
      <c r="CP30" s="284" t="s">
        <v>122</v>
      </c>
      <c r="CQ30" s="285">
        <f>AVERAGE(CQ27:CQ29)</f>
        <v>2.8813494439319923E-2</v>
      </c>
      <c r="CR30" s="285">
        <f>AVERAGE(CR27:CR29)</f>
        <v>2.4525391565411947E-2</v>
      </c>
      <c r="CS30" s="285">
        <f>AVERAGE(CS27:CS29)</f>
        <v>0.51575048691253933</v>
      </c>
      <c r="CT30" s="285">
        <f>AVERAGE(CT27:CT29)</f>
        <v>0.43091062708272893</v>
      </c>
      <c r="CU30" s="282"/>
      <c r="DL30" s="279"/>
      <c r="DM30" s="279"/>
      <c r="DN30" s="382"/>
      <c r="DO30" s="382"/>
      <c r="DP30" s="382"/>
      <c r="DQ30" s="382"/>
      <c r="DR30" s="382"/>
      <c r="DS30" s="382"/>
      <c r="DT30" s="382"/>
      <c r="DU30" s="382"/>
      <c r="DV30" s="382"/>
      <c r="DW30" s="382"/>
      <c r="DX30" s="382"/>
      <c r="DY30" s="382"/>
      <c r="DZ30" s="382"/>
      <c r="EA30" s="382"/>
      <c r="EB30" s="382"/>
      <c r="EC30" s="382"/>
      <c r="ED30" s="382"/>
      <c r="EE30" s="382"/>
      <c r="EF30" s="382"/>
      <c r="EG30" s="382"/>
      <c r="EH30" s="279"/>
      <c r="EI30" s="279"/>
    </row>
    <row r="31" spans="18:194" ht="21" thickBot="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CP31"/>
      <c r="CQ31"/>
      <c r="CR31"/>
      <c r="CS31"/>
      <c r="CT31"/>
      <c r="CU31"/>
      <c r="DL31" s="279"/>
      <c r="DM31" s="385">
        <f>EG19</f>
        <v>22.033095526131266</v>
      </c>
      <c r="DN31" s="387">
        <f>EG5</f>
        <v>6.1016859845259752</v>
      </c>
      <c r="DP31" s="388">
        <f>DM31+DN31+70</f>
        <v>98.134781510657234</v>
      </c>
      <c r="DQ31" s="382"/>
      <c r="DR31" s="382"/>
      <c r="DS31" s="382"/>
      <c r="DT31" s="382"/>
      <c r="DU31" s="382"/>
      <c r="DV31" s="382"/>
      <c r="DW31" s="382"/>
      <c r="DX31" s="384">
        <f>WEO!W6*1000</f>
        <v>318.84916289182718</v>
      </c>
      <c r="DY31" s="382"/>
      <c r="DZ31" s="382"/>
      <c r="EA31" s="382"/>
      <c r="EB31" s="382"/>
      <c r="EC31" s="382"/>
      <c r="ED31" s="382"/>
      <c r="EE31" s="382"/>
      <c r="EF31" s="382"/>
      <c r="EG31" s="382"/>
      <c r="EH31" s="279"/>
      <c r="EI31" s="279"/>
    </row>
    <row r="32" spans="18:194" ht="20.25">
      <c r="R32" s="104" t="s">
        <v>182</v>
      </c>
      <c r="S32" s="94"/>
      <c r="T32" s="94"/>
      <c r="U32" s="79"/>
      <c r="V32" s="1"/>
      <c r="W32" s="1"/>
      <c r="X32" s="1"/>
      <c r="Y32" s="1"/>
      <c r="Z32" s="1"/>
      <c r="AA32" s="1"/>
      <c r="AB32" s="1"/>
      <c r="AC32" s="1"/>
      <c r="AD32" s="1"/>
      <c r="AE32" s="1"/>
      <c r="AF32" s="1"/>
      <c r="AG32" s="1"/>
      <c r="AH32" s="1"/>
      <c r="AI32" s="1"/>
      <c r="AJ32" s="1"/>
      <c r="AK32" s="1"/>
      <c r="AL32" s="1"/>
      <c r="AM32" s="1"/>
      <c r="AN32" s="1"/>
      <c r="AO32" s="1"/>
      <c r="AP32" s="1"/>
      <c r="AQ32" s="1"/>
      <c r="AR32" s="1"/>
      <c r="AS32" s="1"/>
      <c r="CP32"/>
      <c r="CQ32"/>
      <c r="CR32"/>
      <c r="CS32"/>
      <c r="CT32"/>
      <c r="CU32"/>
      <c r="DL32" s="279"/>
      <c r="DM32" s="279"/>
      <c r="DN32" s="382"/>
      <c r="DO32" s="382"/>
      <c r="DP32" s="382"/>
      <c r="DQ32" s="382"/>
      <c r="DR32" s="382"/>
      <c r="DS32" s="382"/>
      <c r="DT32" s="382"/>
      <c r="DU32" s="382"/>
      <c r="DV32" s="382"/>
      <c r="DW32" s="382"/>
      <c r="DX32" s="382"/>
      <c r="DY32" s="382"/>
      <c r="DZ32" s="382"/>
      <c r="EA32" s="382"/>
      <c r="EB32" s="384">
        <f>WEO!BD8*1000</f>
        <v>2642.2539980370275</v>
      </c>
      <c r="EC32" s="382"/>
      <c r="ED32" s="382"/>
      <c r="EE32" s="382"/>
      <c r="EF32" s="382"/>
      <c r="EG32" s="384">
        <f>WEO!BF8/3*1000</f>
        <v>52.459751252693486</v>
      </c>
      <c r="EH32" s="279"/>
      <c r="EI32" s="279"/>
    </row>
    <row r="33" spans="18:139" ht="15">
      <c r="R33" s="80"/>
      <c r="S33" s="95" t="s">
        <v>83</v>
      </c>
      <c r="T33" s="96" t="s">
        <v>85</v>
      </c>
      <c r="U33" s="97" t="s">
        <v>84</v>
      </c>
      <c r="V33" s="1" t="s">
        <v>172</v>
      </c>
      <c r="W33" s="1"/>
      <c r="X33" s="1"/>
      <c r="Y33" s="1"/>
      <c r="Z33" s="1"/>
      <c r="AA33" s="1"/>
      <c r="AB33" s="1"/>
      <c r="AC33" s="1"/>
      <c r="AD33" s="1"/>
      <c r="AE33" s="1"/>
      <c r="AF33" s="1"/>
      <c r="AG33" s="1"/>
      <c r="AH33" s="1"/>
      <c r="AI33" s="1"/>
      <c r="AJ33" s="1"/>
      <c r="AK33" s="1"/>
      <c r="AL33" s="1"/>
      <c r="AM33" s="1"/>
      <c r="AN33" s="1"/>
      <c r="AO33" s="1"/>
      <c r="AP33" s="1"/>
      <c r="AQ33" s="1"/>
      <c r="AR33" s="1"/>
      <c r="AS33" s="1"/>
      <c r="CP33"/>
      <c r="CQ33"/>
      <c r="CR33"/>
      <c r="CS33"/>
      <c r="CT33" s="291">
        <f>CT30+CS30</f>
        <v>0.94666111399526831</v>
      </c>
      <c r="CU33"/>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row>
    <row r="34" spans="18:139" ht="15">
      <c r="R34" s="98" t="s">
        <v>12</v>
      </c>
      <c r="S34" s="99">
        <f>U15/AD15</f>
        <v>0.59008441861953065</v>
      </c>
      <c r="T34" s="99">
        <f>Y15/AD15</f>
        <v>0.39500594625019031</v>
      </c>
      <c r="U34" s="100">
        <f>AC15/AD15</f>
        <v>1.4909635130278941E-2</v>
      </c>
      <c r="V34" s="14">
        <f>SUM(S34:U34)</f>
        <v>0.99999999999999989</v>
      </c>
      <c r="W34" s="1"/>
      <c r="X34" s="1"/>
      <c r="Y34" s="1"/>
      <c r="Z34" s="1"/>
      <c r="AA34" s="1"/>
      <c r="AB34" s="1"/>
      <c r="AC34" s="1"/>
      <c r="AD34" s="1"/>
      <c r="AE34" s="1"/>
      <c r="AF34" s="1"/>
      <c r="AG34" s="1"/>
      <c r="AH34" s="1"/>
      <c r="AI34" s="1"/>
      <c r="AJ34" s="1"/>
      <c r="AK34" s="1"/>
      <c r="AL34" s="1"/>
      <c r="AM34" s="1"/>
      <c r="AN34" s="1"/>
      <c r="AO34" s="1"/>
      <c r="AP34" s="1"/>
      <c r="AQ34" s="1"/>
      <c r="AR34" s="1"/>
      <c r="AS34" s="1"/>
      <c r="DL34" t="s">
        <v>184</v>
      </c>
    </row>
    <row r="35" spans="18:139" ht="15">
      <c r="R35" s="98" t="s">
        <v>13</v>
      </c>
      <c r="S35" s="99">
        <f>U16/AD16</f>
        <v>0.18876382707209827</v>
      </c>
      <c r="T35" s="99">
        <f>Y16/AD16</f>
        <v>0.79920662464154268</v>
      </c>
      <c r="U35" s="100">
        <f>AC16/AD16</f>
        <v>1.2029548286359031E-2</v>
      </c>
      <c r="V35" s="14">
        <f>SUM(S35:U35)</f>
        <v>1</v>
      </c>
      <c r="W35" s="1"/>
      <c r="X35" s="1"/>
      <c r="Y35" s="1"/>
      <c r="Z35" s="1"/>
      <c r="AA35" s="1"/>
      <c r="AB35" s="1"/>
      <c r="AC35" s="1"/>
      <c r="AD35" s="1"/>
      <c r="AE35" s="1"/>
      <c r="AF35" s="1"/>
      <c r="AG35" s="1"/>
      <c r="AH35" s="1"/>
      <c r="AI35" s="1"/>
      <c r="AJ35" s="1"/>
      <c r="AK35" s="1"/>
      <c r="AL35" s="1"/>
      <c r="AM35" s="1"/>
      <c r="AN35" s="1"/>
      <c r="AO35" s="1"/>
      <c r="AP35" s="1"/>
      <c r="AQ35" s="1"/>
      <c r="AR35" s="1"/>
      <c r="AS35" s="1"/>
    </row>
    <row r="36" spans="18:139" ht="15">
      <c r="R36" s="98" t="s">
        <v>14</v>
      </c>
      <c r="S36" s="99">
        <f>U17/AD17</f>
        <v>0.54675985568066798</v>
      </c>
      <c r="T36" s="99">
        <f>Y17/AD17</f>
        <v>0.39187740076097161</v>
      </c>
      <c r="U36" s="100">
        <f>AC17/AD17</f>
        <v>6.1362743558360355E-2</v>
      </c>
      <c r="V36" s="14">
        <f>SUM(S36:U36)</f>
        <v>1</v>
      </c>
      <c r="W36" s="1"/>
      <c r="X36" s="1"/>
      <c r="Y36" s="1"/>
      <c r="Z36" s="1"/>
      <c r="AA36" s="1"/>
      <c r="AB36" s="1"/>
      <c r="AC36" s="1"/>
      <c r="AD36" s="1"/>
      <c r="AE36" s="1"/>
      <c r="AF36" s="1"/>
      <c r="AG36" s="1"/>
      <c r="AH36" s="1"/>
      <c r="AI36" s="1"/>
      <c r="AJ36" s="1"/>
      <c r="AK36" s="1"/>
      <c r="AL36" s="1"/>
      <c r="AM36" s="1"/>
      <c r="AN36" s="1"/>
      <c r="AO36" s="1"/>
      <c r="AP36" s="1"/>
      <c r="AQ36" s="1"/>
      <c r="AR36" s="1"/>
      <c r="AS36" s="1"/>
    </row>
    <row r="37" spans="18:139" ht="15.75" thickBot="1">
      <c r="R37" s="101" t="s">
        <v>82</v>
      </c>
      <c r="S37" s="102">
        <f>AVERAGE(S34:S36)</f>
        <v>0.44186936712409897</v>
      </c>
      <c r="T37" s="102">
        <f>AVERAGE(T34:T36)</f>
        <v>0.5286966572175682</v>
      </c>
      <c r="U37" s="103">
        <f>AVERAGE(U34:U36)</f>
        <v>2.9433975658332778E-2</v>
      </c>
      <c r="V37" s="14">
        <f>SUM(S37:U37)</f>
        <v>1</v>
      </c>
      <c r="W37" s="1"/>
      <c r="X37" s="1"/>
      <c r="Y37" s="1"/>
      <c r="Z37" s="1"/>
      <c r="AA37" s="1"/>
      <c r="AB37" s="1"/>
      <c r="AC37" s="1"/>
      <c r="AD37" s="1"/>
      <c r="AE37" s="1"/>
      <c r="AF37" s="1"/>
      <c r="AG37" s="1"/>
      <c r="AH37" s="1"/>
      <c r="AI37" s="1"/>
      <c r="AJ37" s="1"/>
      <c r="AK37" s="1"/>
      <c r="AL37" s="1"/>
      <c r="AM37" s="1"/>
      <c r="AN37" s="1"/>
      <c r="AO37" s="1"/>
      <c r="AP37" s="1"/>
      <c r="AQ37" s="1"/>
      <c r="AR37" s="1"/>
      <c r="AS37" s="1"/>
    </row>
  </sheetData>
  <mergeCells count="64">
    <mergeCell ref="R1:Y1"/>
    <mergeCell ref="Z1:AS1"/>
    <mergeCell ref="F3:I3"/>
    <mergeCell ref="K3:N3"/>
    <mergeCell ref="E12:I16"/>
    <mergeCell ref="AM12:AN12"/>
    <mergeCell ref="AP12:AQ12"/>
    <mergeCell ref="Z13:AC13"/>
    <mergeCell ref="S13:U13"/>
    <mergeCell ref="V13:Y13"/>
    <mergeCell ref="AG12:AH12"/>
    <mergeCell ref="AJ12:AK12"/>
    <mergeCell ref="AW4:AW6"/>
    <mergeCell ref="BF4:BF6"/>
    <mergeCell ref="AX5:AX6"/>
    <mergeCell ref="AY5:AY6"/>
    <mergeCell ref="AZ5:AZ6"/>
    <mergeCell ref="BB4:BB6"/>
    <mergeCell ref="EM1:EY1"/>
    <mergeCell ref="EP5:EP6"/>
    <mergeCell ref="BC4:BC6"/>
    <mergeCell ref="BD4:BD6"/>
    <mergeCell ref="BA5:BA6"/>
    <mergeCell ref="AX4:BA4"/>
    <mergeCell ref="BZ5:CB5"/>
    <mergeCell ref="BG4:BG6"/>
    <mergeCell ref="BH5:BH6"/>
    <mergeCell ref="BI5:BI6"/>
    <mergeCell ref="BH4:BJ4"/>
    <mergeCell ref="BJ5:BJ7"/>
    <mergeCell ref="GJ13:GL13"/>
    <mergeCell ref="FW15:FY15"/>
    <mergeCell ref="FW16:FY16"/>
    <mergeCell ref="FW17:FY17"/>
    <mergeCell ref="FZ13:GB13"/>
    <mergeCell ref="FW18:FY18"/>
    <mergeCell ref="GF13:GI13"/>
    <mergeCell ref="EM4:EM6"/>
    <mergeCell ref="ER4:ER6"/>
    <mergeCell ref="EU4:EU6"/>
    <mergeCell ref="EV4:EV6"/>
    <mergeCell ref="EN5:EN6"/>
    <mergeCell ref="EQ5:EQ6"/>
    <mergeCell ref="EX4:EX6"/>
    <mergeCell ref="ET4:ET6"/>
    <mergeCell ref="ES4:ES6"/>
    <mergeCell ref="EN4:EQ4"/>
    <mergeCell ref="EO5:EO6"/>
    <mergeCell ref="FC1:FS1"/>
    <mergeCell ref="FW1:GF1"/>
    <mergeCell ref="GC13:GE13"/>
    <mergeCell ref="FW6:GF7"/>
    <mergeCell ref="E1:N1"/>
    <mergeCell ref="AW1:BO1"/>
    <mergeCell ref="BS1:CB1"/>
    <mergeCell ref="CF1:CL1"/>
    <mergeCell ref="CP1:CU1"/>
    <mergeCell ref="FK4:FS7"/>
    <mergeCell ref="FK8:FS10"/>
    <mergeCell ref="DA5:DB5"/>
    <mergeCell ref="DD5:DE5"/>
    <mergeCell ref="DG5:DH5"/>
    <mergeCell ref="DR1:EB9"/>
    <mergeCell ref="CY1:DH1"/>
  </mergeCells>
  <hyperlinks>
    <hyperlink ref="CF4" r:id="rId1"/>
  </hyperlinks>
  <pageMargins left="0.7" right="0.7" top="0.75" bottom="0.75" header="0.3" footer="0.3"/>
  <pageSetup paperSize="9"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WEO</vt:lpstr>
      <vt:lpstr>WEO!Print_Area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2012-05-08T08:42:20Z</dcterms:modified>
</cp:coreProperties>
</file>